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erview" sheetId="1" state="visible" r:id="rId1"/>
    <sheet name="Invoices" sheetId="2" state="visible" r:id="rId2"/>
    <sheet name="Aging Summary" sheetId="3" state="visible" r:id="rId3"/>
    <sheet name="Customer Summary" sheetId="4" state="visible" r:id="rId4"/>
    <sheet name="Provisions" sheetId="5" state="visible" r:id="rId5"/>
    <sheet name="Collections Plan" sheetId="6" state="visible" r:id="rId6"/>
    <sheet name="Dashboard" sheetId="7" state="visible" r:id="rId7"/>
  </sheets>
  <definedNames>
    <definedName name="AsOf">'Overview'!$B$5</definedName>
    <definedName name="_xlnm._FilterDatabase" localSheetId="1" hidden="1">'Invoices'!$A$3:$L$73</definedName>
    <definedName name="_xlnm._FilterDatabase" localSheetId="3" hidden="1">'Customer Summary'!$A$3:$G$21</definedName>
    <definedName name="_xlnm._FilterDatabase" localSheetId="5" hidden="1">'Collections Plan'!$A$3:$G$15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&quot;Rs &quot;#,##0"/>
    <numFmt numFmtId="166" formatCode="0.0%"/>
    <numFmt numFmtId="167" formatCode="0.0&quot; days&quot;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</font>
    <font>
      <b val="1"/>
      <color rgb="00FFFFFF"/>
    </font>
    <font>
      <b val="1"/>
    </font>
    <font>
      <b val="1"/>
      <color rgb="00FFFFFF"/>
      <sz val="14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DEBF7"/>
      </patternFill>
    </fill>
    <fill>
      <patternFill patternType="solid">
        <fgColor rgb="00D9E1F2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164" fontId="4" fillId="0" borderId="0" pivotButton="0" quotePrefix="0" xfId="0"/>
    <xf numFmtId="9" fontId="0" fillId="0" borderId="0" pivotButton="0" quotePrefix="0" xfId="0"/>
    <xf numFmtId="0" fontId="0" fillId="0" borderId="0" applyAlignment="1" pivotButton="0" quotePrefix="0" xfId="0">
      <alignment wrapText="1"/>
    </xf>
    <xf numFmtId="0" fontId="5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  <xf numFmtId="0" fontId="4" fillId="3" borderId="1" pivotButton="0" quotePrefix="0" xfId="0"/>
    <xf numFmtId="165" fontId="4" fillId="3" borderId="1" pivotButton="0" quotePrefix="0" xfId="0"/>
    <xf numFmtId="166" fontId="0" fillId="0" borderId="0" pivotButton="0" quotePrefix="0" xfId="0"/>
    <xf numFmtId="166" fontId="4" fillId="3" borderId="1" pivotButton="0" quotePrefix="0" xfId="0"/>
    <xf numFmtId="1" fontId="4" fillId="3" borderId="1" pivotButton="0" quotePrefix="0" xfId="0"/>
    <xf numFmtId="165" fontId="4" fillId="0" borderId="0" pivotButton="0" quotePrefix="0" xfId="0"/>
    <xf numFmtId="0" fontId="2" fillId="0" borderId="0" applyAlignment="1" pivotButton="0" quotePrefix="0" xfId="0">
      <alignment wrapText="1"/>
    </xf>
    <xf numFmtId="0" fontId="4" fillId="3" borderId="1" applyAlignment="1" pivotButton="0" quotePrefix="0" xfId="0">
      <alignment horizontal="right"/>
    </xf>
    <xf numFmtId="0" fontId="3" fillId="2" borderId="0" applyAlignment="1" pivotButton="0" quotePrefix="0" xfId="0">
      <alignment horizontal="center" vertical="center" wrapText="1"/>
    </xf>
    <xf numFmtId="165" fontId="6" fillId="3" borderId="2" applyAlignment="1" pivotButton="0" quotePrefix="0" xfId="0">
      <alignment horizontal="center"/>
    </xf>
    <xf numFmtId="166" fontId="6" fillId="3" borderId="2" applyAlignment="1" pivotButton="0" quotePrefix="0" xfId="0">
      <alignment horizontal="center"/>
    </xf>
    <xf numFmtId="167" fontId="6" fillId="3" borderId="2" applyAlignment="1" pivotButton="0" quotePrefix="0" xfId="0">
      <alignment horizontal="center"/>
    </xf>
    <xf numFmtId="0" fontId="4" fillId="4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Outstanding by Aging Bucket (Rs)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'Dashboard'!B8</f>
            </strRef>
          </tx>
          <spPr>
            <a:ln>
              <a:prstDash val="solid"/>
            </a:ln>
          </spPr>
          <cat>
            <numRef>
              <f>'Dashboard'!$A$9:$A$13</f>
            </numRef>
          </cat>
          <val>
            <numRef>
              <f>'Dashboard'!$B$9:$B$13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Top 10 Customers by Outstanding (Rs)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'Dashboard'!E8</f>
            </strRef>
          </tx>
          <spPr>
            <a:ln>
              <a:prstDash val="solid"/>
            </a:ln>
          </spPr>
          <cat>
            <numRef>
              <f>'Dashboard'!$D$9:$D$18</f>
            </numRef>
          </cat>
          <val>
            <numRef>
              <f>'Dashboard'!$E$9:$E$18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6</row>
      <rowOff>0</rowOff>
    </from>
    <ext cx="540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0</col>
      <colOff>0</colOff>
      <row>20</row>
      <rowOff>0</rowOff>
    </from>
    <ext cx="540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58" customWidth="1" min="2" max="2"/>
    <col width="20" customWidth="1" min="3" max="3"/>
    <col width="16" customWidth="1" min="4" max="4"/>
    <col width="16" customWidth="1" min="5" max="5"/>
    <col width="16" customWidth="1" min="6" max="6"/>
  </cols>
  <sheetData>
    <row r="1" ht="30" customHeight="1">
      <c r="A1" s="1" t="inlineStr">
        <is>
          <t>BrightPath Solutions Pvt Ltd: AR Aging &amp; Collections Pack</t>
        </is>
      </c>
    </row>
    <row r="2">
      <c r="A2" s="2" t="inlineStr">
        <is>
          <t>Accounts receivable aging, provisioning and collections | Reporting date: 31-Aug-2026 | Currency: INR (Rs) | GST @ 18%</t>
        </is>
      </c>
    </row>
    <row r="3"/>
    <row r="4">
      <c r="A4" s="3" t="inlineStr">
        <is>
          <t>Configuration</t>
        </is>
      </c>
    </row>
    <row r="5">
      <c r="A5" s="4" t="inlineStr">
        <is>
          <t>As-of date (aging cut-off)</t>
        </is>
      </c>
      <c r="B5" s="5" t="n">
        <v>46265</v>
      </c>
      <c r="C5" s="2" t="inlineStr">
        <is>
          <t>config cell - referenced by every Days Overdue formula (defined name: AsOf)</t>
        </is>
      </c>
    </row>
    <row r="6">
      <c r="A6" s="4" t="inlineStr">
        <is>
          <t>Reporting currency</t>
        </is>
      </c>
      <c r="B6" t="inlineStr">
        <is>
          <t>INR (Rs)</t>
        </is>
      </c>
    </row>
    <row r="7">
      <c r="A7" s="4" t="inlineStr">
        <is>
          <t>GST applied to invoices</t>
        </is>
      </c>
      <c r="B7" s="6" t="n">
        <v>0.18</v>
      </c>
    </row>
    <row r="8">
      <c r="A8" s="4" t="inlineStr">
        <is>
          <t>DSOS credit-sales period</t>
        </is>
      </c>
      <c r="B8" t="inlineStr">
        <is>
          <t>01-Jan-2026 to 31-Aug-2026 (240 days)</t>
        </is>
      </c>
    </row>
    <row r="9">
      <c r="A9" s="4" t="inlineStr">
        <is>
          <t>Risk tier thresholds</t>
        </is>
      </c>
      <c r="B9" t="inlineStr">
        <is>
          <t>High = oldest open invoice &gt; 90 days | Medium = 61-90 | Low = 31-60 | Watch = 1-30 | None = fully settled</t>
        </is>
      </c>
    </row>
    <row r="10"/>
    <row r="11">
      <c r="A11" s="3" t="inlineStr">
        <is>
          <t>Purpose</t>
        </is>
      </c>
    </row>
    <row r="12" ht="62" customHeight="1">
      <c r="A12" s="7" t="inlineStr">
        <is>
          <t>An accounts-receivable aging and collections pack for BrightPath Solutions Pvt Ltd, a fictional B2B services company in Bengaluru. It ages every invoice as of 31-Aug-2026, summarises exposure by age bucket and customer, computes illustrative bad-debt provisions, and turns the oldest balances into a prioritised collections worklist. Portfolio piece for AR / accountant / finance roles.</t>
        </is>
      </c>
    </row>
    <row r="13">
      <c r="A13" s="3" t="inlineStr">
        <is>
          <t>Aging method (as of 31-Aug-2026)</t>
        </is>
      </c>
    </row>
    <row r="14" ht="76" customHeight="1">
      <c r="A14" s="7" t="inlineStr">
        <is>
          <t>Aging runs off the config date in cell B5 above. For each invoice: Due Date = Invoice Date + payment-term days; Days Overdue = MAX(0, as-of date - Due Date). Balances are bucketed with SUMIFS on Days Overdue: Current (not yet due), 1-30, 31-60, 61-90 and 90+ days. Settled invoices (balance &lt;= 0) drop out of every bucket, so the bucket total always equals total outstanding - the Aging Summary carries a zero-difference check cell to prove it.</t>
        </is>
      </c>
    </row>
    <row r="15">
      <c r="A15" s="3" t="inlineStr">
        <is>
          <t>Payment terms used</t>
        </is>
      </c>
    </row>
    <row r="16" ht="62" customHeight="1">
      <c r="A16" s="7" t="inlineStr">
        <is>
          <t>Net 30, Net 45 and Net 60 from invoice date, entered as text in Invoices column D; the Due Date formula extracts the day count with VALUE(MID(...)) so terms stay editable. Typical B2B services mix: Net 30 for most retainer and project invoices, Net 45 for larger enterprise clients, Net 60 for a few strategic accounts.</t>
        </is>
      </c>
    </row>
    <row r="17">
      <c r="A17" s="3" t="inlineStr">
        <is>
          <t>Provisioning policy assumptions</t>
        </is>
      </c>
    </row>
    <row r="18" ht="76" customHeight="1">
      <c r="A18" s="7" t="inlineStr">
        <is>
          <t>Provision rates are illustrative portfolio assumptions - not statutory rates or company policy: Current 0%, 1-30 days 5%, 31-60 10%, 61-90 25%, 90+ 50%. Rates live in the Provisions sheet, are applied to the Aging Summary buckets, and Net Receivable = Total Outstanding - Total Provision. A real company would set rates from historical loss experience and its credit-loss accounting policy.</t>
        </is>
      </c>
    </row>
    <row r="19">
      <c r="A19" s="3" t="inlineStr">
        <is>
          <t>Modern Excel functions</t>
        </is>
      </c>
    </row>
    <row r="20" ht="62" customHeight="1">
      <c r="A20" s="7" t="inlineStr">
        <is>
          <t>Built for Microsoft 365 / Excel 2021+: MAXIFS (oldest outstanding days per customer) plus SUMIFS, COUNTIFS, SUMIF, IF/OR. Excel 2019 and older will show #NAME? for MAXIFS. The file was generated programmatically, so formula cells carry no cached results until Excel recalculates on open (full-calc-on-load is set).</t>
        </is>
      </c>
    </row>
    <row r="21">
      <c r="A21" s="3" t="inlineStr">
        <is>
          <t>Sheet guide</t>
        </is>
      </c>
    </row>
    <row r="22" ht="32" customHeight="1">
      <c r="A22" s="4" t="inlineStr">
        <is>
          <t>Overview</t>
        </is>
      </c>
      <c r="B22" s="7" t="inlineStr">
        <is>
          <t>This page: purpose, config cells, aging method, payment terms, provisioning assumptions, sheet guide.</t>
        </is>
      </c>
    </row>
    <row r="23" ht="32" customHeight="1">
      <c r="A23" s="4" t="inlineStr">
        <is>
          <t>Invoices</t>
        </is>
      </c>
      <c r="B23" s="7" t="inlineStr">
        <is>
          <t>70 invoices (Jan-Aug 2026) with GST, due date, receipts, balance, days overdue and status. Header fill, freeze panes, autofilter, red highlight on &gt;= 90 days overdue.</t>
        </is>
      </c>
    </row>
    <row r="24" ht="32" customHeight="1">
      <c r="A24" s="4" t="inlineStr">
        <is>
          <t>Aging Summary</t>
        </is>
      </c>
      <c r="B24" s="7" t="inlineStr">
        <is>
          <t>Outstanding split into Current / 1-30 / 31-60 / 61-90 / 90+ with amount, % of total and invoice count (SUMIFS / COUNTIFS) plus a zero-difference check row.</t>
        </is>
      </c>
    </row>
    <row r="25" ht="32" customHeight="1">
      <c r="A25" s="4" t="inlineStr">
        <is>
          <t>Customer Summary</t>
        </is>
      </c>
      <c r="B25" s="7" t="inlineStr">
        <is>
          <t>One row per customer: invoiced, received, outstanding, % overdue, oldest outstanding days (MAXIFS) and risk tier - sorted by outstanding descending, with a totals row.</t>
        </is>
      </c>
    </row>
    <row r="26" ht="32" customHeight="1">
      <c r="A26" s="4" t="inlineStr">
        <is>
          <t>Provisions</t>
        </is>
      </c>
      <c r="B26" s="7" t="inlineStr">
        <is>
          <t>Provision rate per bucket, provision amount, total provision and net receivable (linked to Aging Summary).</t>
        </is>
      </c>
    </row>
    <row r="27" ht="32" customHeight="1">
      <c r="A27" s="4" t="inlineStr">
        <is>
          <t>Collections Plan</t>
        </is>
      </c>
      <c r="B27" s="7" t="inlineStr">
        <is>
          <t>Top 12 overdue invoices ranked by amount with priority (IF on age x amount), suggested action and owner - the actionable worklist.</t>
        </is>
      </c>
    </row>
    <row r="28" ht="32" customHeight="1">
      <c r="A28" s="4" t="inlineStr">
        <is>
          <t>Dashboard</t>
        </is>
      </c>
      <c r="B28" s="7" t="inlineStr">
        <is>
          <t>KPI cards (outstanding, overdue %, buckets, provision, net receivable, DSOS) plus charts: outstanding by aging bucket and top 10 customers by outstanding.</t>
        </is>
      </c>
    </row>
  </sheetData>
  <mergeCells count="21">
    <mergeCell ref="A16:F16"/>
    <mergeCell ref="B25:F25"/>
    <mergeCell ref="A12:F12"/>
    <mergeCell ref="A18:F18"/>
    <mergeCell ref="B22:F22"/>
    <mergeCell ref="A21:F21"/>
    <mergeCell ref="B27:F27"/>
    <mergeCell ref="A2:F2"/>
    <mergeCell ref="A14:F14"/>
    <mergeCell ref="A17:F17"/>
    <mergeCell ref="B23:F23"/>
    <mergeCell ref="A4:F4"/>
    <mergeCell ref="A20:F20"/>
    <mergeCell ref="A13:F13"/>
    <mergeCell ref="A19:F19"/>
    <mergeCell ref="B28:F28"/>
    <mergeCell ref="A15:F15"/>
    <mergeCell ref="A11:F11"/>
    <mergeCell ref="B24:F24"/>
    <mergeCell ref="A1:F1"/>
    <mergeCell ref="B26:F2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7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31" customWidth="1" min="2" max="2"/>
    <col width="13" customWidth="1" min="3" max="3"/>
    <col width="13" customWidth="1" min="4" max="4"/>
    <col width="20" customWidth="1" min="5" max="5"/>
    <col width="14" customWidth="1" min="6" max="6"/>
    <col width="19" customWidth="1" min="7" max="7"/>
    <col width="13" customWidth="1" min="8" max="8"/>
    <col width="18" customWidth="1" min="9" max="9"/>
    <col width="20" customWidth="1" min="10" max="10"/>
    <col width="12" customWidth="1" min="11" max="11"/>
    <col width="15" customWidth="1" min="12" max="12"/>
  </cols>
  <sheetData>
    <row r="1" ht="26" customHeight="1">
      <c r="A1" s="8" t="inlineStr">
        <is>
          <t>Invoices - BrightPath Solutions Pvt Ltd (Jan-Aug 2026)</t>
        </is>
      </c>
    </row>
    <row r="2" ht="18" customHeight="1">
      <c r="A2" s="2" t="inlineStr">
        <is>
          <t>As of 31-Aug-2026 | Rs figures | GST @ 18% | Terms Net 30 / 45 / 60 | Days Overdue = MAX(0, as-of - due date)</t>
        </is>
      </c>
    </row>
    <row r="3" ht="30" customHeight="1">
      <c r="A3" s="9" t="inlineStr">
        <is>
          <t>Invoice No</t>
        </is>
      </c>
      <c r="B3" s="9" t="inlineStr">
        <is>
          <t>Customer</t>
        </is>
      </c>
      <c r="C3" s="9" t="inlineStr">
        <is>
          <t>Invoice Date</t>
        </is>
      </c>
      <c r="D3" s="9" t="inlineStr">
        <is>
          <t>Payment Terms</t>
        </is>
      </c>
      <c r="E3" s="9" t="inlineStr">
        <is>
          <t>Invoice Amount (excl GST)</t>
        </is>
      </c>
      <c r="F3" s="9" t="inlineStr">
        <is>
          <t>GST 18%</t>
        </is>
      </c>
      <c r="G3" s="9" t="inlineStr">
        <is>
          <t>Total Invoice Value</t>
        </is>
      </c>
      <c r="H3" s="9" t="inlineStr">
        <is>
          <t>Due Date</t>
        </is>
      </c>
      <c r="I3" s="9" t="inlineStr">
        <is>
          <t>Amount Received</t>
        </is>
      </c>
      <c r="J3" s="9" t="inlineStr">
        <is>
          <t>Balance Outstanding</t>
        </is>
      </c>
      <c r="K3" s="9" t="inlineStr">
        <is>
          <t>Days Overdue</t>
        </is>
      </c>
      <c r="L3" s="9" t="inlineStr">
        <is>
          <t>Status</t>
        </is>
      </c>
    </row>
    <row r="4">
      <c r="A4" t="inlineStr">
        <is>
          <t>INV-26-0001</t>
        </is>
      </c>
      <c r="B4" t="inlineStr">
        <is>
          <t>Coral Reef Hospitality Pvt Ltd</t>
        </is>
      </c>
      <c r="C4" s="10" t="n">
        <v>46023</v>
      </c>
      <c r="D4" t="inlineStr">
        <is>
          <t>Net 60</t>
        </is>
      </c>
      <c r="E4" s="11" t="n">
        <v>81000</v>
      </c>
      <c r="F4" s="11">
        <f>E4*0.18</f>
        <v/>
      </c>
      <c r="G4" s="11">
        <f>E4+F4</f>
        <v/>
      </c>
      <c r="H4" s="10">
        <f>C4+VALUE(MID(D4,5,3))</f>
        <v/>
      </c>
      <c r="I4" s="11" t="n">
        <v>95580</v>
      </c>
      <c r="J4" s="11">
        <f>G4-I4</f>
        <v/>
      </c>
      <c r="K4" s="12">
        <f>MAX(0,'Overview'!$B$5-H4)</f>
        <v/>
      </c>
      <c r="L4">
        <f>IF(J4&lt;=0,"Paid",IF(K4&gt;0,"Overdue","Open-not-due"))</f>
        <v/>
      </c>
    </row>
    <row r="5">
      <c r="A5" t="inlineStr">
        <is>
          <t>INV-26-0002</t>
        </is>
      </c>
      <c r="B5" t="inlineStr">
        <is>
          <t>Nimbus Cloud Solutions Pvt Ltd</t>
        </is>
      </c>
      <c r="C5" s="10" t="n">
        <v>46026</v>
      </c>
      <c r="D5" t="inlineStr">
        <is>
          <t>Net 30</t>
        </is>
      </c>
      <c r="E5" s="11" t="n">
        <v>149000</v>
      </c>
      <c r="F5" s="11">
        <f>E5*0.18</f>
        <v/>
      </c>
      <c r="G5" s="11">
        <f>E5+F5</f>
        <v/>
      </c>
      <c r="H5" s="10">
        <f>C5+VALUE(MID(D5,5,3))</f>
        <v/>
      </c>
      <c r="I5" s="11" t="n">
        <v>0</v>
      </c>
      <c r="J5" s="11">
        <f>G5-I5</f>
        <v/>
      </c>
      <c r="K5" s="12">
        <f>MAX(0,'Overview'!$B$5-H5)</f>
        <v/>
      </c>
      <c r="L5">
        <f>IF(J5&lt;=0,"Paid",IF(K5&gt;0,"Overdue","Open-not-due"))</f>
        <v/>
      </c>
    </row>
    <row r="6">
      <c r="A6" t="inlineStr">
        <is>
          <t>INV-26-0003</t>
        </is>
      </c>
      <c r="B6" t="inlineStr">
        <is>
          <t>Vaayu Aerospace Components Ltd</t>
        </is>
      </c>
      <c r="C6" s="10" t="n">
        <v>46030</v>
      </c>
      <c r="D6" t="inlineStr">
        <is>
          <t>Net 30</t>
        </is>
      </c>
      <c r="E6" s="11" t="n">
        <v>119000</v>
      </c>
      <c r="F6" s="11">
        <f>E6*0.18</f>
        <v/>
      </c>
      <c r="G6" s="11">
        <f>E6+F6</f>
        <v/>
      </c>
      <c r="H6" s="10">
        <f>C6+VALUE(MID(D6,5,3))</f>
        <v/>
      </c>
      <c r="I6" s="11" t="n">
        <v>140420</v>
      </c>
      <c r="J6" s="11">
        <f>G6-I6</f>
        <v/>
      </c>
      <c r="K6" s="12">
        <f>MAX(0,'Overview'!$B$5-H6)</f>
        <v/>
      </c>
      <c r="L6">
        <f>IF(J6&lt;=0,"Paid",IF(K6&gt;0,"Overdue","Open-not-due"))</f>
        <v/>
      </c>
    </row>
    <row r="7">
      <c r="A7" t="inlineStr">
        <is>
          <t>INV-26-0004</t>
        </is>
      </c>
      <c r="B7" t="inlineStr">
        <is>
          <t>Nimbus Cloud Solutions Pvt Ltd</t>
        </is>
      </c>
      <c r="C7" s="10" t="n">
        <v>46031</v>
      </c>
      <c r="D7" t="inlineStr">
        <is>
          <t>Net 30</t>
        </is>
      </c>
      <c r="E7" s="11" t="n">
        <v>118000</v>
      </c>
      <c r="F7" s="11">
        <f>E7*0.18</f>
        <v/>
      </c>
      <c r="G7" s="11">
        <f>E7+F7</f>
        <v/>
      </c>
      <c r="H7" s="10">
        <f>C7+VALUE(MID(D7,5,3))</f>
        <v/>
      </c>
      <c r="I7" s="11" t="n">
        <v>139240</v>
      </c>
      <c r="J7" s="11">
        <f>G7-I7</f>
        <v/>
      </c>
      <c r="K7" s="12">
        <f>MAX(0,'Overview'!$B$5-H7)</f>
        <v/>
      </c>
      <c r="L7">
        <f>IF(J7&lt;=0,"Paid",IF(K7&gt;0,"Overdue","Open-not-due"))</f>
        <v/>
      </c>
    </row>
    <row r="8">
      <c r="A8" t="inlineStr">
        <is>
          <t>INV-26-0005</t>
        </is>
      </c>
      <c r="B8" t="inlineStr">
        <is>
          <t>Indus Retail Chains Ltd</t>
        </is>
      </c>
      <c r="C8" s="10" t="n">
        <v>46032</v>
      </c>
      <c r="D8" t="inlineStr">
        <is>
          <t>Net 45</t>
        </is>
      </c>
      <c r="E8" s="11" t="n">
        <v>201000</v>
      </c>
      <c r="F8" s="11">
        <f>E8*0.18</f>
        <v/>
      </c>
      <c r="G8" s="11">
        <f>E8+F8</f>
        <v/>
      </c>
      <c r="H8" s="10">
        <f>C8+VALUE(MID(D8,5,3))</f>
        <v/>
      </c>
      <c r="I8" s="11" t="n">
        <v>237180</v>
      </c>
      <c r="J8" s="11">
        <f>G8-I8</f>
        <v/>
      </c>
      <c r="K8" s="12">
        <f>MAX(0,'Overview'!$B$5-H8)</f>
        <v/>
      </c>
      <c r="L8">
        <f>IF(J8&lt;=0,"Paid",IF(K8&gt;0,"Overdue","Open-not-due"))</f>
        <v/>
      </c>
    </row>
    <row r="9">
      <c r="A9" t="inlineStr">
        <is>
          <t>INV-26-0006</t>
        </is>
      </c>
      <c r="B9" t="inlineStr">
        <is>
          <t>Kaveri Financiers Ltd</t>
        </is>
      </c>
      <c r="C9" s="10" t="n">
        <v>46034</v>
      </c>
      <c r="D9" t="inlineStr">
        <is>
          <t>Net 60</t>
        </is>
      </c>
      <c r="E9" s="11" t="n">
        <v>107000</v>
      </c>
      <c r="F9" s="11">
        <f>E9*0.18</f>
        <v/>
      </c>
      <c r="G9" s="11">
        <f>E9+F9</f>
        <v/>
      </c>
      <c r="H9" s="10">
        <f>C9+VALUE(MID(D9,5,3))</f>
        <v/>
      </c>
      <c r="I9" s="11" t="n">
        <v>126260</v>
      </c>
      <c r="J9" s="11">
        <f>G9-I9</f>
        <v/>
      </c>
      <c r="K9" s="12">
        <f>MAX(0,'Overview'!$B$5-H9)</f>
        <v/>
      </c>
      <c r="L9">
        <f>IF(J9&lt;=0,"Paid",IF(K9&gt;0,"Overdue","Open-not-due"))</f>
        <v/>
      </c>
    </row>
    <row r="10">
      <c r="A10" t="inlineStr">
        <is>
          <t>INV-26-0007</t>
        </is>
      </c>
      <c r="B10" t="inlineStr">
        <is>
          <t>Indus Retail Chains Ltd</t>
        </is>
      </c>
      <c r="C10" s="10" t="n">
        <v>46054</v>
      </c>
      <c r="D10" t="inlineStr">
        <is>
          <t>Net 30</t>
        </is>
      </c>
      <c r="E10" s="11" t="n">
        <v>249000</v>
      </c>
      <c r="F10" s="11">
        <f>E10*0.18</f>
        <v/>
      </c>
      <c r="G10" s="11">
        <f>E10+F10</f>
        <v/>
      </c>
      <c r="H10" s="10">
        <f>C10+VALUE(MID(D10,5,3))</f>
        <v/>
      </c>
      <c r="I10" s="11" t="n">
        <v>293820</v>
      </c>
      <c r="J10" s="11">
        <f>G10-I10</f>
        <v/>
      </c>
      <c r="K10" s="12">
        <f>MAX(0,'Overview'!$B$5-H10)</f>
        <v/>
      </c>
      <c r="L10">
        <f>IF(J10&lt;=0,"Paid",IF(K10&gt;0,"Overdue","Open-not-due"))</f>
        <v/>
      </c>
    </row>
    <row r="11">
      <c r="A11" t="inlineStr">
        <is>
          <t>INV-26-0008</t>
        </is>
      </c>
      <c r="B11" t="inlineStr">
        <is>
          <t>Shakti Power Equipment Ltd</t>
        </is>
      </c>
      <c r="C11" s="10" t="n">
        <v>46059</v>
      </c>
      <c r="D11" t="inlineStr">
        <is>
          <t>Net 30</t>
        </is>
      </c>
      <c r="E11" s="11" t="n">
        <v>169000</v>
      </c>
      <c r="F11" s="11">
        <f>E11*0.18</f>
        <v/>
      </c>
      <c r="G11" s="11">
        <f>E11+F11</f>
        <v/>
      </c>
      <c r="H11" s="10">
        <f>C11+VALUE(MID(D11,5,3))</f>
        <v/>
      </c>
      <c r="I11" s="11" t="n">
        <v>199420</v>
      </c>
      <c r="J11" s="11">
        <f>G11-I11</f>
        <v/>
      </c>
      <c r="K11" s="12">
        <f>MAX(0,'Overview'!$B$5-H11)</f>
        <v/>
      </c>
      <c r="L11">
        <f>IF(J11&lt;=0,"Paid",IF(K11&gt;0,"Overdue","Open-not-due"))</f>
        <v/>
      </c>
    </row>
    <row r="12">
      <c r="A12" t="inlineStr">
        <is>
          <t>INV-26-0009</t>
        </is>
      </c>
      <c r="B12" t="inlineStr">
        <is>
          <t>Kaveri Financiers Ltd</t>
        </is>
      </c>
      <c r="C12" s="10" t="n">
        <v>46070</v>
      </c>
      <c r="D12" t="inlineStr">
        <is>
          <t>Net 60</t>
        </is>
      </c>
      <c r="E12" s="11" t="n">
        <v>190000</v>
      </c>
      <c r="F12" s="11">
        <f>E12*0.18</f>
        <v/>
      </c>
      <c r="G12" s="11">
        <f>E12+F12</f>
        <v/>
      </c>
      <c r="H12" s="10">
        <f>C12+VALUE(MID(D12,5,3))</f>
        <v/>
      </c>
      <c r="I12" s="11" t="n">
        <v>0</v>
      </c>
      <c r="J12" s="11">
        <f>G12-I12</f>
        <v/>
      </c>
      <c r="K12" s="12">
        <f>MAX(0,'Overview'!$B$5-H12)</f>
        <v/>
      </c>
      <c r="L12">
        <f>IF(J12&lt;=0,"Paid",IF(K12&gt;0,"Overdue","Open-not-due"))</f>
        <v/>
      </c>
    </row>
    <row r="13">
      <c r="A13" t="inlineStr">
        <is>
          <t>INV-26-0010</t>
        </is>
      </c>
      <c r="B13" t="inlineStr">
        <is>
          <t>Shakti Power Equipment Ltd</t>
        </is>
      </c>
      <c r="C13" s="10" t="n">
        <v>46078</v>
      </c>
      <c r="D13" t="inlineStr">
        <is>
          <t>Net 60</t>
        </is>
      </c>
      <c r="E13" s="11" t="n">
        <v>56000</v>
      </c>
      <c r="F13" s="11">
        <f>E13*0.18</f>
        <v/>
      </c>
      <c r="G13" s="11">
        <f>E13+F13</f>
        <v/>
      </c>
      <c r="H13" s="10">
        <f>C13+VALUE(MID(D13,5,3))</f>
        <v/>
      </c>
      <c r="I13" s="11" t="n">
        <v>66080</v>
      </c>
      <c r="J13" s="11">
        <f>G13-I13</f>
        <v/>
      </c>
      <c r="K13" s="12">
        <f>MAX(0,'Overview'!$B$5-H13)</f>
        <v/>
      </c>
      <c r="L13">
        <f>IF(J13&lt;=0,"Paid",IF(K13&gt;0,"Overdue","Open-not-due"))</f>
        <v/>
      </c>
    </row>
    <row r="14">
      <c r="A14" t="inlineStr">
        <is>
          <t>INV-26-0011</t>
        </is>
      </c>
      <c r="B14" t="inlineStr">
        <is>
          <t>Zenith InfoTech Pvt Ltd</t>
        </is>
      </c>
      <c r="C14" s="10" t="n">
        <v>46092</v>
      </c>
      <c r="D14" t="inlineStr">
        <is>
          <t>Net 60</t>
        </is>
      </c>
      <c r="E14" s="11" t="n">
        <v>199000</v>
      </c>
      <c r="F14" s="11">
        <f>E14*0.18</f>
        <v/>
      </c>
      <c r="G14" s="11">
        <f>E14+F14</f>
        <v/>
      </c>
      <c r="H14" s="10">
        <f>C14+VALUE(MID(D14,5,3))</f>
        <v/>
      </c>
      <c r="I14" s="11" t="n">
        <v>234820</v>
      </c>
      <c r="J14" s="11">
        <f>G14-I14</f>
        <v/>
      </c>
      <c r="K14" s="12">
        <f>MAX(0,'Overview'!$B$5-H14)</f>
        <v/>
      </c>
      <c r="L14">
        <f>IF(J14&lt;=0,"Paid",IF(K14&gt;0,"Overdue","Open-not-due"))</f>
        <v/>
      </c>
    </row>
    <row r="15">
      <c r="A15" t="inlineStr">
        <is>
          <t>INV-26-0012</t>
        </is>
      </c>
      <c r="B15" t="inlineStr">
        <is>
          <t>Kaveri Financiers Ltd</t>
        </is>
      </c>
      <c r="C15" s="10" t="n">
        <v>46094</v>
      </c>
      <c r="D15" t="inlineStr">
        <is>
          <t>Net 45</t>
        </is>
      </c>
      <c r="E15" s="11" t="n">
        <v>263000</v>
      </c>
      <c r="F15" s="11">
        <f>E15*0.18</f>
        <v/>
      </c>
      <c r="G15" s="11">
        <f>E15+F15</f>
        <v/>
      </c>
      <c r="H15" s="10">
        <f>C15+VALUE(MID(D15,5,3))</f>
        <v/>
      </c>
      <c r="I15" s="11" t="n">
        <v>310340</v>
      </c>
      <c r="J15" s="11">
        <f>G15-I15</f>
        <v/>
      </c>
      <c r="K15" s="12">
        <f>MAX(0,'Overview'!$B$5-H15)</f>
        <v/>
      </c>
      <c r="L15">
        <f>IF(J15&lt;=0,"Paid",IF(K15&gt;0,"Overdue","Open-not-due"))</f>
        <v/>
      </c>
    </row>
    <row r="16">
      <c r="A16" t="inlineStr">
        <is>
          <t>INV-26-0013</t>
        </is>
      </c>
      <c r="B16" t="inlineStr">
        <is>
          <t>Trident Auto Components Ltd</t>
        </is>
      </c>
      <c r="C16" s="10" t="n">
        <v>46094</v>
      </c>
      <c r="D16" t="inlineStr">
        <is>
          <t>Net 60</t>
        </is>
      </c>
      <c r="E16" s="11" t="n">
        <v>88000</v>
      </c>
      <c r="F16" s="11">
        <f>E16*0.18</f>
        <v/>
      </c>
      <c r="G16" s="11">
        <f>E16+F16</f>
        <v/>
      </c>
      <c r="H16" s="10">
        <f>C16+VALUE(MID(D16,5,3))</f>
        <v/>
      </c>
      <c r="I16" s="11" t="n">
        <v>39000</v>
      </c>
      <c r="J16" s="11">
        <f>G16-I16</f>
        <v/>
      </c>
      <c r="K16" s="12">
        <f>MAX(0,'Overview'!$B$5-H16)</f>
        <v/>
      </c>
      <c r="L16">
        <f>IF(J16&lt;=0,"Paid",IF(K16&gt;0,"Overdue","Open-not-due"))</f>
        <v/>
      </c>
    </row>
    <row r="17">
      <c r="A17" t="inlineStr">
        <is>
          <t>INV-26-0014</t>
        </is>
      </c>
      <c r="B17" t="inlineStr">
        <is>
          <t>BluePeak Insurance Brokers Ltd</t>
        </is>
      </c>
      <c r="C17" s="10" t="n">
        <v>46095</v>
      </c>
      <c r="D17" t="inlineStr">
        <is>
          <t>Net 30</t>
        </is>
      </c>
      <c r="E17" s="11" t="n">
        <v>87000</v>
      </c>
      <c r="F17" s="11">
        <f>E17*0.18</f>
        <v/>
      </c>
      <c r="G17" s="11">
        <f>E17+F17</f>
        <v/>
      </c>
      <c r="H17" s="10">
        <f>C17+VALUE(MID(D17,5,3))</f>
        <v/>
      </c>
      <c r="I17" s="11" t="n">
        <v>102660</v>
      </c>
      <c r="J17" s="11">
        <f>G17-I17</f>
        <v/>
      </c>
      <c r="K17" s="12">
        <f>MAX(0,'Overview'!$B$5-H17)</f>
        <v/>
      </c>
      <c r="L17">
        <f>IF(J17&lt;=0,"Paid",IF(K17&gt;0,"Overdue","Open-not-due"))</f>
        <v/>
      </c>
    </row>
    <row r="18">
      <c r="A18" t="inlineStr">
        <is>
          <t>INV-26-0015</t>
        </is>
      </c>
      <c r="B18" t="inlineStr">
        <is>
          <t>Zenith InfoTech Pvt Ltd</t>
        </is>
      </c>
      <c r="C18" s="10" t="n">
        <v>46107</v>
      </c>
      <c r="D18" t="inlineStr">
        <is>
          <t>Net 30</t>
        </is>
      </c>
      <c r="E18" s="11" t="n">
        <v>326000</v>
      </c>
      <c r="F18" s="11">
        <f>E18*0.18</f>
        <v/>
      </c>
      <c r="G18" s="11">
        <f>E18+F18</f>
        <v/>
      </c>
      <c r="H18" s="10">
        <f>C18+VALUE(MID(D18,5,3))</f>
        <v/>
      </c>
      <c r="I18" s="11" t="n">
        <v>250000</v>
      </c>
      <c r="J18" s="11">
        <f>G18-I18</f>
        <v/>
      </c>
      <c r="K18" s="12">
        <f>MAX(0,'Overview'!$B$5-H18)</f>
        <v/>
      </c>
      <c r="L18">
        <f>IF(J18&lt;=0,"Paid",IF(K18&gt;0,"Overdue","Open-not-due"))</f>
        <v/>
      </c>
    </row>
    <row r="19">
      <c r="A19" t="inlineStr">
        <is>
          <t>INV-26-0016</t>
        </is>
      </c>
      <c r="B19" t="inlineStr">
        <is>
          <t>Anjali Textiles Pvt Ltd</t>
        </is>
      </c>
      <c r="C19" s="10" t="n">
        <v>46118</v>
      </c>
      <c r="D19" t="inlineStr">
        <is>
          <t>Net 45</t>
        </is>
      </c>
      <c r="E19" s="11" t="n">
        <v>161000</v>
      </c>
      <c r="F19" s="11">
        <f>E19*0.18</f>
        <v/>
      </c>
      <c r="G19" s="11">
        <f>E19+F19</f>
        <v/>
      </c>
      <c r="H19" s="10">
        <f>C19+VALUE(MID(D19,5,3))</f>
        <v/>
      </c>
      <c r="I19" s="11" t="n">
        <v>189980</v>
      </c>
      <c r="J19" s="11">
        <f>G19-I19</f>
        <v/>
      </c>
      <c r="K19" s="12">
        <f>MAX(0,'Overview'!$B$5-H19)</f>
        <v/>
      </c>
      <c r="L19">
        <f>IF(J19&lt;=0,"Paid",IF(K19&gt;0,"Overdue","Open-not-due"))</f>
        <v/>
      </c>
    </row>
    <row r="20">
      <c r="A20" t="inlineStr">
        <is>
          <t>INV-26-0017</t>
        </is>
      </c>
      <c r="B20" t="inlineStr">
        <is>
          <t>GreenLeaf Agro Foods Pvt Ltd</t>
        </is>
      </c>
      <c r="C20" s="10" t="n">
        <v>46118</v>
      </c>
      <c r="D20" t="inlineStr">
        <is>
          <t>Net 45</t>
        </is>
      </c>
      <c r="E20" s="11" t="n">
        <v>92000</v>
      </c>
      <c r="F20" s="11">
        <f>E20*0.18</f>
        <v/>
      </c>
      <c r="G20" s="11">
        <f>E20+F20</f>
        <v/>
      </c>
      <c r="H20" s="10">
        <f>C20+VALUE(MID(D20,5,3))</f>
        <v/>
      </c>
      <c r="I20" s="11" t="n">
        <v>108560</v>
      </c>
      <c r="J20" s="11">
        <f>G20-I20</f>
        <v/>
      </c>
      <c r="K20" s="12">
        <f>MAX(0,'Overview'!$B$5-H20)</f>
        <v/>
      </c>
      <c r="L20">
        <f>IF(J20&lt;=0,"Paid",IF(K20&gt;0,"Overdue","Open-not-due"))</f>
        <v/>
      </c>
    </row>
    <row r="21">
      <c r="A21" t="inlineStr">
        <is>
          <t>INV-26-0018</t>
        </is>
      </c>
      <c r="B21" t="inlineStr">
        <is>
          <t>Vaayu Aerospace Components Ltd</t>
        </is>
      </c>
      <c r="C21" s="10" t="n">
        <v>46124</v>
      </c>
      <c r="D21" t="inlineStr">
        <is>
          <t>Net 30</t>
        </is>
      </c>
      <c r="E21" s="11" t="n">
        <v>170000</v>
      </c>
      <c r="F21" s="11">
        <f>E21*0.18</f>
        <v/>
      </c>
      <c r="G21" s="11">
        <f>E21+F21</f>
        <v/>
      </c>
      <c r="H21" s="10">
        <f>C21+VALUE(MID(D21,5,3))</f>
        <v/>
      </c>
      <c r="I21" s="11" t="n">
        <v>0</v>
      </c>
      <c r="J21" s="11">
        <f>G21-I21</f>
        <v/>
      </c>
      <c r="K21" s="12">
        <f>MAX(0,'Overview'!$B$5-H21)</f>
        <v/>
      </c>
      <c r="L21">
        <f>IF(J21&lt;=0,"Paid",IF(K21&gt;0,"Overdue","Open-not-due"))</f>
        <v/>
      </c>
    </row>
    <row r="22">
      <c r="A22" t="inlineStr">
        <is>
          <t>INV-26-0019</t>
        </is>
      </c>
      <c r="B22" t="inlineStr">
        <is>
          <t>Sakshi Healthcare Labs Pvt Ltd</t>
        </is>
      </c>
      <c r="C22" s="10" t="n">
        <v>46126</v>
      </c>
      <c r="D22" t="inlineStr">
        <is>
          <t>Net 30</t>
        </is>
      </c>
      <c r="E22" s="11" t="n">
        <v>170000</v>
      </c>
      <c r="F22" s="11">
        <f>E22*0.18</f>
        <v/>
      </c>
      <c r="G22" s="11">
        <f>E22+F22</f>
        <v/>
      </c>
      <c r="H22" s="10">
        <f>C22+VALUE(MID(D22,5,3))</f>
        <v/>
      </c>
      <c r="I22" s="11" t="n">
        <v>200600</v>
      </c>
      <c r="J22" s="11">
        <f>G22-I22</f>
        <v/>
      </c>
      <c r="K22" s="12">
        <f>MAX(0,'Overview'!$B$5-H22)</f>
        <v/>
      </c>
      <c r="L22">
        <f>IF(J22&lt;=0,"Paid",IF(K22&gt;0,"Overdue","Open-not-due"))</f>
        <v/>
      </c>
    </row>
    <row r="23">
      <c r="A23" t="inlineStr">
        <is>
          <t>INV-26-0020</t>
        </is>
      </c>
      <c r="B23" t="inlineStr">
        <is>
          <t>Prisma Media Networks Pvt Ltd</t>
        </is>
      </c>
      <c r="C23" s="10" t="n">
        <v>46127</v>
      </c>
      <c r="D23" t="inlineStr">
        <is>
          <t>Net 30</t>
        </is>
      </c>
      <c r="E23" s="11" t="n">
        <v>174000</v>
      </c>
      <c r="F23" s="11">
        <f>E23*0.18</f>
        <v/>
      </c>
      <c r="G23" s="11">
        <f>E23+F23</f>
        <v/>
      </c>
      <c r="H23" s="10">
        <f>C23+VALUE(MID(D23,5,3))</f>
        <v/>
      </c>
      <c r="I23" s="11" t="n">
        <v>205320</v>
      </c>
      <c r="J23" s="11">
        <f>G23-I23</f>
        <v/>
      </c>
      <c r="K23" s="12">
        <f>MAX(0,'Overview'!$B$5-H23)</f>
        <v/>
      </c>
      <c r="L23">
        <f>IF(J23&lt;=0,"Paid",IF(K23&gt;0,"Overdue","Open-not-due"))</f>
        <v/>
      </c>
    </row>
    <row r="24">
      <c r="A24" t="inlineStr">
        <is>
          <t>INV-26-0021</t>
        </is>
      </c>
      <c r="B24" t="inlineStr">
        <is>
          <t>Sakshi Healthcare Labs Pvt Ltd</t>
        </is>
      </c>
      <c r="C24" s="10" t="n">
        <v>46127</v>
      </c>
      <c r="D24" t="inlineStr">
        <is>
          <t>Net 30</t>
        </is>
      </c>
      <c r="E24" s="11" t="n">
        <v>99000</v>
      </c>
      <c r="F24" s="11">
        <f>E24*0.18</f>
        <v/>
      </c>
      <c r="G24" s="11">
        <f>E24+F24</f>
        <v/>
      </c>
      <c r="H24" s="10">
        <f>C24+VALUE(MID(D24,5,3))</f>
        <v/>
      </c>
      <c r="I24" s="11" t="n">
        <v>116820</v>
      </c>
      <c r="J24" s="11">
        <f>G24-I24</f>
        <v/>
      </c>
      <c r="K24" s="12">
        <f>MAX(0,'Overview'!$B$5-H24)</f>
        <v/>
      </c>
      <c r="L24">
        <f>IF(J24&lt;=0,"Paid",IF(K24&gt;0,"Overdue","Open-not-due"))</f>
        <v/>
      </c>
    </row>
    <row r="25">
      <c r="A25" t="inlineStr">
        <is>
          <t>INV-26-0022</t>
        </is>
      </c>
      <c r="B25" t="inlineStr">
        <is>
          <t>Prisma Media Networks Pvt Ltd</t>
        </is>
      </c>
      <c r="C25" s="10" t="n">
        <v>46136</v>
      </c>
      <c r="D25" t="inlineStr">
        <is>
          <t>Net 45</t>
        </is>
      </c>
      <c r="E25" s="11" t="n">
        <v>78000</v>
      </c>
      <c r="F25" s="11">
        <f>E25*0.18</f>
        <v/>
      </c>
      <c r="G25" s="11">
        <f>E25+F25</f>
        <v/>
      </c>
      <c r="H25" s="10">
        <f>C25+VALUE(MID(D25,5,3))</f>
        <v/>
      </c>
      <c r="I25" s="11" t="n">
        <v>92040</v>
      </c>
      <c r="J25" s="11">
        <f>G25-I25</f>
        <v/>
      </c>
      <c r="K25" s="12">
        <f>MAX(0,'Overview'!$B$5-H25)</f>
        <v/>
      </c>
      <c r="L25">
        <f>IF(J25&lt;=0,"Paid",IF(K25&gt;0,"Overdue","Open-not-due"))</f>
        <v/>
      </c>
    </row>
    <row r="26">
      <c r="A26" t="inlineStr">
        <is>
          <t>INV-26-0023</t>
        </is>
      </c>
      <c r="B26" t="inlineStr">
        <is>
          <t>Anjali Textiles Pvt Ltd</t>
        </is>
      </c>
      <c r="C26" s="10" t="n">
        <v>46138</v>
      </c>
      <c r="D26" t="inlineStr">
        <is>
          <t>Net 30</t>
        </is>
      </c>
      <c r="E26" s="11" t="n">
        <v>112000</v>
      </c>
      <c r="F26" s="11">
        <f>E26*0.18</f>
        <v/>
      </c>
      <c r="G26" s="11">
        <f>E26+F26</f>
        <v/>
      </c>
      <c r="H26" s="10">
        <f>C26+VALUE(MID(D26,5,3))</f>
        <v/>
      </c>
      <c r="I26" s="11" t="n">
        <v>132160</v>
      </c>
      <c r="J26" s="11">
        <f>G26-I26</f>
        <v/>
      </c>
      <c r="K26" s="12">
        <f>MAX(0,'Overview'!$B$5-H26)</f>
        <v/>
      </c>
      <c r="L26">
        <f>IF(J26&lt;=0,"Paid",IF(K26&gt;0,"Overdue","Open-not-due"))</f>
        <v/>
      </c>
    </row>
    <row r="27">
      <c r="A27" t="inlineStr">
        <is>
          <t>INV-26-0024</t>
        </is>
      </c>
      <c r="B27" t="inlineStr">
        <is>
          <t>Coral Reef Hospitality Pvt Ltd</t>
        </is>
      </c>
      <c r="C27" s="10" t="n">
        <v>46140</v>
      </c>
      <c r="D27" t="inlineStr">
        <is>
          <t>Net 45</t>
        </is>
      </c>
      <c r="E27" s="11" t="n">
        <v>76000</v>
      </c>
      <c r="F27" s="11">
        <f>E27*0.18</f>
        <v/>
      </c>
      <c r="G27" s="11">
        <f>E27+F27</f>
        <v/>
      </c>
      <c r="H27" s="10">
        <f>C27+VALUE(MID(D27,5,3))</f>
        <v/>
      </c>
      <c r="I27" s="11" t="n">
        <v>89680</v>
      </c>
      <c r="J27" s="11">
        <f>G27-I27</f>
        <v/>
      </c>
      <c r="K27" s="12">
        <f>MAX(0,'Overview'!$B$5-H27)</f>
        <v/>
      </c>
      <c r="L27">
        <f>IF(J27&lt;=0,"Paid",IF(K27&gt;0,"Overdue","Open-not-due"))</f>
        <v/>
      </c>
    </row>
    <row r="28">
      <c r="A28" t="inlineStr">
        <is>
          <t>INV-26-0025</t>
        </is>
      </c>
      <c r="B28" t="inlineStr">
        <is>
          <t>Orion Pharma Services Ltd</t>
        </is>
      </c>
      <c r="C28" s="10" t="n">
        <v>46141</v>
      </c>
      <c r="D28" t="inlineStr">
        <is>
          <t>Net 30</t>
        </is>
      </c>
      <c r="E28" s="11" t="n">
        <v>115000</v>
      </c>
      <c r="F28" s="11">
        <f>E28*0.18</f>
        <v/>
      </c>
      <c r="G28" s="11">
        <f>E28+F28</f>
        <v/>
      </c>
      <c r="H28" s="10">
        <f>C28+VALUE(MID(D28,5,3))</f>
        <v/>
      </c>
      <c r="I28" s="11" t="n">
        <v>135700</v>
      </c>
      <c r="J28" s="11">
        <f>G28-I28</f>
        <v/>
      </c>
      <c r="K28" s="12">
        <f>MAX(0,'Overview'!$B$5-H28)</f>
        <v/>
      </c>
      <c r="L28">
        <f>IF(J28&lt;=0,"Paid",IF(K28&gt;0,"Overdue","Open-not-due"))</f>
        <v/>
      </c>
    </row>
    <row r="29">
      <c r="A29" t="inlineStr">
        <is>
          <t>INV-26-0026</t>
        </is>
      </c>
      <c r="B29" t="inlineStr">
        <is>
          <t>Zenith InfoTech Pvt Ltd</t>
        </is>
      </c>
      <c r="C29" s="10" t="n">
        <v>46141</v>
      </c>
      <c r="D29" t="inlineStr">
        <is>
          <t>Net 45</t>
        </is>
      </c>
      <c r="E29" s="11" t="n">
        <v>349000</v>
      </c>
      <c r="F29" s="11">
        <f>E29*0.18</f>
        <v/>
      </c>
      <c r="G29" s="11">
        <f>E29+F29</f>
        <v/>
      </c>
      <c r="H29" s="10">
        <f>C29+VALUE(MID(D29,5,3))</f>
        <v/>
      </c>
      <c r="I29" s="11" t="n">
        <v>411820</v>
      </c>
      <c r="J29" s="11">
        <f>G29-I29</f>
        <v/>
      </c>
      <c r="K29" s="12">
        <f>MAX(0,'Overview'!$B$5-H29)</f>
        <v/>
      </c>
      <c r="L29">
        <f>IF(J29&lt;=0,"Paid",IF(K29&gt;0,"Overdue","Open-not-due"))</f>
        <v/>
      </c>
    </row>
    <row r="30">
      <c r="A30" t="inlineStr">
        <is>
          <t>INV-26-0027</t>
        </is>
      </c>
      <c r="B30" t="inlineStr">
        <is>
          <t>Indus Retail Chains Ltd</t>
        </is>
      </c>
      <c r="C30" s="10" t="n">
        <v>46144</v>
      </c>
      <c r="D30" t="inlineStr">
        <is>
          <t>Net 30</t>
        </is>
      </c>
      <c r="E30" s="11" t="n">
        <v>204000</v>
      </c>
      <c r="F30" s="11">
        <f>E30*0.18</f>
        <v/>
      </c>
      <c r="G30" s="11">
        <f>E30+F30</f>
        <v/>
      </c>
      <c r="H30" s="10">
        <f>C30+VALUE(MID(D30,5,3))</f>
        <v/>
      </c>
      <c r="I30" s="11" t="n">
        <v>240720</v>
      </c>
      <c r="J30" s="11">
        <f>G30-I30</f>
        <v/>
      </c>
      <c r="K30" s="12">
        <f>MAX(0,'Overview'!$B$5-H30)</f>
        <v/>
      </c>
      <c r="L30">
        <f>IF(J30&lt;=0,"Paid",IF(K30&gt;0,"Overdue","Open-not-due"))</f>
        <v/>
      </c>
    </row>
    <row r="31">
      <c r="A31" t="inlineStr">
        <is>
          <t>INV-26-0028</t>
        </is>
      </c>
      <c r="B31" t="inlineStr">
        <is>
          <t>Orion Pharma Services Ltd</t>
        </is>
      </c>
      <c r="C31" s="10" t="n">
        <v>46145</v>
      </c>
      <c r="D31" t="inlineStr">
        <is>
          <t>Net 30</t>
        </is>
      </c>
      <c r="E31" s="11" t="n">
        <v>259000</v>
      </c>
      <c r="F31" s="11">
        <f>E31*0.18</f>
        <v/>
      </c>
      <c r="G31" s="11">
        <f>E31+F31</f>
        <v/>
      </c>
      <c r="H31" s="10">
        <f>C31+VALUE(MID(D31,5,3))</f>
        <v/>
      </c>
      <c r="I31" s="11" t="n">
        <v>202000</v>
      </c>
      <c r="J31" s="11">
        <f>G31-I31</f>
        <v/>
      </c>
      <c r="K31" s="12">
        <f>MAX(0,'Overview'!$B$5-H31)</f>
        <v/>
      </c>
      <c r="L31">
        <f>IF(J31&lt;=0,"Paid",IF(K31&gt;0,"Overdue","Open-not-due"))</f>
        <v/>
      </c>
    </row>
    <row r="32">
      <c r="A32" t="inlineStr">
        <is>
          <t>INV-26-0029</t>
        </is>
      </c>
      <c r="B32" t="inlineStr">
        <is>
          <t>Orion Pharma Services Ltd</t>
        </is>
      </c>
      <c r="C32" s="10" t="n">
        <v>46146</v>
      </c>
      <c r="D32" t="inlineStr">
        <is>
          <t>Net 45</t>
        </is>
      </c>
      <c r="E32" s="11" t="n">
        <v>111000</v>
      </c>
      <c r="F32" s="11">
        <f>E32*0.18</f>
        <v/>
      </c>
      <c r="G32" s="11">
        <f>E32+F32</f>
        <v/>
      </c>
      <c r="H32" s="10">
        <f>C32+VALUE(MID(D32,5,3))</f>
        <v/>
      </c>
      <c r="I32" s="11" t="n">
        <v>130980</v>
      </c>
      <c r="J32" s="11">
        <f>G32-I32</f>
        <v/>
      </c>
      <c r="K32" s="12">
        <f>MAX(0,'Overview'!$B$5-H32)</f>
        <v/>
      </c>
      <c r="L32">
        <f>IF(J32&lt;=0,"Paid",IF(K32&gt;0,"Overdue","Open-not-due"))</f>
        <v/>
      </c>
    </row>
    <row r="33">
      <c r="A33" t="inlineStr">
        <is>
          <t>INV-26-0030</t>
        </is>
      </c>
      <c r="B33" t="inlineStr">
        <is>
          <t>Trishul Engineering Works</t>
        </is>
      </c>
      <c r="C33" s="10" t="n">
        <v>46146</v>
      </c>
      <c r="D33" t="inlineStr">
        <is>
          <t>Net 30</t>
        </is>
      </c>
      <c r="E33" s="11" t="n">
        <v>158000</v>
      </c>
      <c r="F33" s="11">
        <f>E33*0.18</f>
        <v/>
      </c>
      <c r="G33" s="11">
        <f>E33+F33</f>
        <v/>
      </c>
      <c r="H33" s="10">
        <f>C33+VALUE(MID(D33,5,3))</f>
        <v/>
      </c>
      <c r="I33" s="11" t="n">
        <v>186440</v>
      </c>
      <c r="J33" s="11">
        <f>G33-I33</f>
        <v/>
      </c>
      <c r="K33" s="12">
        <f>MAX(0,'Overview'!$B$5-H33)</f>
        <v/>
      </c>
      <c r="L33">
        <f>IF(J33&lt;=0,"Paid",IF(K33&gt;0,"Overdue","Open-not-due"))</f>
        <v/>
      </c>
    </row>
    <row r="34">
      <c r="A34" t="inlineStr">
        <is>
          <t>INV-26-0031</t>
        </is>
      </c>
      <c r="B34" t="inlineStr">
        <is>
          <t>Indus Retail Chains Ltd</t>
        </is>
      </c>
      <c r="C34" s="10" t="n">
        <v>46149</v>
      </c>
      <c r="D34" t="inlineStr">
        <is>
          <t>Net 45</t>
        </is>
      </c>
      <c r="E34" s="11" t="n">
        <v>255000</v>
      </c>
      <c r="F34" s="11">
        <f>E34*0.18</f>
        <v/>
      </c>
      <c r="G34" s="11">
        <f>E34+F34</f>
        <v/>
      </c>
      <c r="H34" s="10">
        <f>C34+VALUE(MID(D34,5,3))</f>
        <v/>
      </c>
      <c r="I34" s="11" t="n">
        <v>300900</v>
      </c>
      <c r="J34" s="11">
        <f>G34-I34</f>
        <v/>
      </c>
      <c r="K34" s="12">
        <f>MAX(0,'Overview'!$B$5-H34)</f>
        <v/>
      </c>
      <c r="L34">
        <f>IF(J34&lt;=0,"Paid",IF(K34&gt;0,"Overdue","Open-not-due"))</f>
        <v/>
      </c>
    </row>
    <row r="35">
      <c r="A35" t="inlineStr">
        <is>
          <t>INV-26-0032</t>
        </is>
      </c>
      <c r="B35" t="inlineStr">
        <is>
          <t>Suryan Logistics Pvt Ltd</t>
        </is>
      </c>
      <c r="C35" s="10" t="n">
        <v>46150</v>
      </c>
      <c r="D35" t="inlineStr">
        <is>
          <t>Net 30</t>
        </is>
      </c>
      <c r="E35" s="11" t="n">
        <v>272000</v>
      </c>
      <c r="F35" s="11">
        <f>E35*0.18</f>
        <v/>
      </c>
      <c r="G35" s="11">
        <f>E35+F35</f>
        <v/>
      </c>
      <c r="H35" s="10">
        <f>C35+VALUE(MID(D35,5,3))</f>
        <v/>
      </c>
      <c r="I35" s="11" t="n">
        <v>320960</v>
      </c>
      <c r="J35" s="11">
        <f>G35-I35</f>
        <v/>
      </c>
      <c r="K35" s="12">
        <f>MAX(0,'Overview'!$B$5-H35)</f>
        <v/>
      </c>
      <c r="L35">
        <f>IF(J35&lt;=0,"Paid",IF(K35&gt;0,"Overdue","Open-not-due"))</f>
        <v/>
      </c>
    </row>
    <row r="36">
      <c r="A36" t="inlineStr">
        <is>
          <t>INV-26-0033</t>
        </is>
      </c>
      <c r="B36" t="inlineStr">
        <is>
          <t>BluePeak Insurance Brokers Ltd</t>
        </is>
      </c>
      <c r="C36" s="10" t="n">
        <v>46151</v>
      </c>
      <c r="D36" t="inlineStr">
        <is>
          <t>Net 30</t>
        </is>
      </c>
      <c r="E36" s="11" t="n">
        <v>136000</v>
      </c>
      <c r="F36" s="11">
        <f>E36*0.18</f>
        <v/>
      </c>
      <c r="G36" s="11">
        <f>E36+F36</f>
        <v/>
      </c>
      <c r="H36" s="10">
        <f>C36+VALUE(MID(D36,5,3))</f>
        <v/>
      </c>
      <c r="I36" s="11" t="n">
        <v>100000</v>
      </c>
      <c r="J36" s="11">
        <f>G36-I36</f>
        <v/>
      </c>
      <c r="K36" s="12">
        <f>MAX(0,'Overview'!$B$5-H36)</f>
        <v/>
      </c>
      <c r="L36">
        <f>IF(J36&lt;=0,"Paid",IF(K36&gt;0,"Overdue","Open-not-due"))</f>
        <v/>
      </c>
    </row>
    <row r="37">
      <c r="A37" t="inlineStr">
        <is>
          <t>INV-26-0034</t>
        </is>
      </c>
      <c r="B37" t="inlineStr">
        <is>
          <t>Suryan Logistics Pvt Ltd</t>
        </is>
      </c>
      <c r="C37" s="10" t="n">
        <v>46153</v>
      </c>
      <c r="D37" t="inlineStr">
        <is>
          <t>Net 30</t>
        </is>
      </c>
      <c r="E37" s="11" t="n">
        <v>272000</v>
      </c>
      <c r="F37" s="11">
        <f>E37*0.18</f>
        <v/>
      </c>
      <c r="G37" s="11">
        <f>E37+F37</f>
        <v/>
      </c>
      <c r="H37" s="10">
        <f>C37+VALUE(MID(D37,5,3))</f>
        <v/>
      </c>
      <c r="I37" s="11" t="n">
        <v>320960</v>
      </c>
      <c r="J37" s="11">
        <f>G37-I37</f>
        <v/>
      </c>
      <c r="K37" s="12">
        <f>MAX(0,'Overview'!$B$5-H37)</f>
        <v/>
      </c>
      <c r="L37">
        <f>IF(J37&lt;=0,"Paid",IF(K37&gt;0,"Overdue","Open-not-due"))</f>
        <v/>
      </c>
    </row>
    <row r="38">
      <c r="A38" t="inlineStr">
        <is>
          <t>INV-26-0035</t>
        </is>
      </c>
      <c r="B38" t="inlineStr">
        <is>
          <t>Trishul Engineering Works</t>
        </is>
      </c>
      <c r="C38" s="10" t="n">
        <v>46158</v>
      </c>
      <c r="D38" t="inlineStr">
        <is>
          <t>Net 30</t>
        </is>
      </c>
      <c r="E38" s="11" t="n">
        <v>235000</v>
      </c>
      <c r="F38" s="11">
        <f>E38*0.18</f>
        <v/>
      </c>
      <c r="G38" s="11">
        <f>E38+F38</f>
        <v/>
      </c>
      <c r="H38" s="10">
        <f>C38+VALUE(MID(D38,5,3))</f>
        <v/>
      </c>
      <c r="I38" s="11" t="n">
        <v>0</v>
      </c>
      <c r="J38" s="11">
        <f>G38-I38</f>
        <v/>
      </c>
      <c r="K38" s="12">
        <f>MAX(0,'Overview'!$B$5-H38)</f>
        <v/>
      </c>
      <c r="L38">
        <f>IF(J38&lt;=0,"Paid",IF(K38&gt;0,"Overdue","Open-not-due"))</f>
        <v/>
      </c>
    </row>
    <row r="39">
      <c r="A39" t="inlineStr">
        <is>
          <t>INV-26-0036</t>
        </is>
      </c>
      <c r="B39" t="inlineStr">
        <is>
          <t>GreenLeaf Agro Foods Pvt Ltd</t>
        </is>
      </c>
      <c r="C39" s="10" t="n">
        <v>46180</v>
      </c>
      <c r="D39" t="inlineStr">
        <is>
          <t>Net 45</t>
        </is>
      </c>
      <c r="E39" s="11" t="n">
        <v>179000</v>
      </c>
      <c r="F39" s="11">
        <f>E39*0.18</f>
        <v/>
      </c>
      <c r="G39" s="11">
        <f>E39+F39</f>
        <v/>
      </c>
      <c r="H39" s="10">
        <f>C39+VALUE(MID(D39,5,3))</f>
        <v/>
      </c>
      <c r="I39" s="11" t="n">
        <v>211220</v>
      </c>
      <c r="J39" s="11">
        <f>G39-I39</f>
        <v/>
      </c>
      <c r="K39" s="12">
        <f>MAX(0,'Overview'!$B$5-H39)</f>
        <v/>
      </c>
      <c r="L39">
        <f>IF(J39&lt;=0,"Paid",IF(K39&gt;0,"Overdue","Open-not-due"))</f>
        <v/>
      </c>
    </row>
    <row r="40">
      <c r="A40" t="inlineStr">
        <is>
          <t>INV-26-0037</t>
        </is>
      </c>
      <c r="B40" t="inlineStr">
        <is>
          <t>Trident Auto Components Ltd</t>
        </is>
      </c>
      <c r="C40" s="10" t="n">
        <v>46191</v>
      </c>
      <c r="D40" t="inlineStr">
        <is>
          <t>Net 45</t>
        </is>
      </c>
      <c r="E40" s="11" t="n">
        <v>78000</v>
      </c>
      <c r="F40" s="11">
        <f>E40*0.18</f>
        <v/>
      </c>
      <c r="G40" s="11">
        <f>E40+F40</f>
        <v/>
      </c>
      <c r="H40" s="10">
        <f>C40+VALUE(MID(D40,5,3))</f>
        <v/>
      </c>
      <c r="I40" s="11" t="n">
        <v>0</v>
      </c>
      <c r="J40" s="11">
        <f>G40-I40</f>
        <v/>
      </c>
      <c r="K40" s="12">
        <f>MAX(0,'Overview'!$B$5-H40)</f>
        <v/>
      </c>
      <c r="L40">
        <f>IF(J40&lt;=0,"Paid",IF(K40&gt;0,"Overdue","Open-not-due"))</f>
        <v/>
      </c>
    </row>
    <row r="41">
      <c r="A41" t="inlineStr">
        <is>
          <t>INV-26-0038</t>
        </is>
      </c>
      <c r="B41" t="inlineStr">
        <is>
          <t>Vaayu Aerospace Components Ltd</t>
        </is>
      </c>
      <c r="C41" s="10" t="n">
        <v>46191</v>
      </c>
      <c r="D41" t="inlineStr">
        <is>
          <t>Net 30</t>
        </is>
      </c>
      <c r="E41" s="11" t="n">
        <v>100000</v>
      </c>
      <c r="F41" s="11">
        <f>E41*0.18</f>
        <v/>
      </c>
      <c r="G41" s="11">
        <f>E41+F41</f>
        <v/>
      </c>
      <c r="H41" s="10">
        <f>C41+VALUE(MID(D41,5,3))</f>
        <v/>
      </c>
      <c r="I41" s="11" t="n">
        <v>118000</v>
      </c>
      <c r="J41" s="11">
        <f>G41-I41</f>
        <v/>
      </c>
      <c r="K41" s="12">
        <f>MAX(0,'Overview'!$B$5-H41)</f>
        <v/>
      </c>
      <c r="L41">
        <f>IF(J41&lt;=0,"Paid",IF(K41&gt;0,"Overdue","Open-not-due"))</f>
        <v/>
      </c>
    </row>
    <row r="42">
      <c r="A42" t="inlineStr">
        <is>
          <t>INV-26-0039</t>
        </is>
      </c>
      <c r="B42" t="inlineStr">
        <is>
          <t>Zenith InfoTech Pvt Ltd</t>
        </is>
      </c>
      <c r="C42" s="10" t="n">
        <v>46191</v>
      </c>
      <c r="D42" t="inlineStr">
        <is>
          <t>Net 30</t>
        </is>
      </c>
      <c r="E42" s="11" t="n">
        <v>190000</v>
      </c>
      <c r="F42" s="11">
        <f>E42*0.18</f>
        <v/>
      </c>
      <c r="G42" s="11">
        <f>E42+F42</f>
        <v/>
      </c>
      <c r="H42" s="10">
        <f>C42+VALUE(MID(D42,5,3))</f>
        <v/>
      </c>
      <c r="I42" s="11" t="n">
        <v>112000</v>
      </c>
      <c r="J42" s="11">
        <f>G42-I42</f>
        <v/>
      </c>
      <c r="K42" s="12">
        <f>MAX(0,'Overview'!$B$5-H42)</f>
        <v/>
      </c>
      <c r="L42">
        <f>IF(J42&lt;=0,"Paid",IF(K42&gt;0,"Overdue","Open-not-due"))</f>
        <v/>
      </c>
    </row>
    <row r="43">
      <c r="A43" t="inlineStr">
        <is>
          <t>INV-26-0040</t>
        </is>
      </c>
      <c r="B43" t="inlineStr">
        <is>
          <t>Zenith InfoTech Pvt Ltd</t>
        </is>
      </c>
      <c r="C43" s="10" t="n">
        <v>46192</v>
      </c>
      <c r="D43" t="inlineStr">
        <is>
          <t>Net 45</t>
        </is>
      </c>
      <c r="E43" s="11" t="n">
        <v>356000</v>
      </c>
      <c r="F43" s="11">
        <f>E43*0.18</f>
        <v/>
      </c>
      <c r="G43" s="11">
        <f>E43+F43</f>
        <v/>
      </c>
      <c r="H43" s="10">
        <f>C43+VALUE(MID(D43,5,3))</f>
        <v/>
      </c>
      <c r="I43" s="11" t="n">
        <v>420080</v>
      </c>
      <c r="J43" s="11">
        <f>G43-I43</f>
        <v/>
      </c>
      <c r="K43" s="12">
        <f>MAX(0,'Overview'!$B$5-H43)</f>
        <v/>
      </c>
      <c r="L43">
        <f>IF(J43&lt;=0,"Paid",IF(K43&gt;0,"Overdue","Open-not-due"))</f>
        <v/>
      </c>
    </row>
    <row r="44">
      <c r="A44" t="inlineStr">
        <is>
          <t>INV-26-0041</t>
        </is>
      </c>
      <c r="B44" t="inlineStr">
        <is>
          <t>BluePeak Insurance Brokers Ltd</t>
        </is>
      </c>
      <c r="C44" s="10" t="n">
        <v>46198</v>
      </c>
      <c r="D44" t="inlineStr">
        <is>
          <t>Net 60</t>
        </is>
      </c>
      <c r="E44" s="11" t="n">
        <v>106000</v>
      </c>
      <c r="F44" s="11">
        <f>E44*0.18</f>
        <v/>
      </c>
      <c r="G44" s="11">
        <f>E44+F44</f>
        <v/>
      </c>
      <c r="H44" s="10">
        <f>C44+VALUE(MID(D44,5,3))</f>
        <v/>
      </c>
      <c r="I44" s="11" t="n">
        <v>125080</v>
      </c>
      <c r="J44" s="11">
        <f>G44-I44</f>
        <v/>
      </c>
      <c r="K44" s="12">
        <f>MAX(0,'Overview'!$B$5-H44)</f>
        <v/>
      </c>
      <c r="L44">
        <f>IF(J44&lt;=0,"Paid",IF(K44&gt;0,"Overdue","Open-not-due"))</f>
        <v/>
      </c>
    </row>
    <row r="45">
      <c r="A45" t="inlineStr">
        <is>
          <t>INV-26-0042</t>
        </is>
      </c>
      <c r="B45" t="inlineStr">
        <is>
          <t>Mahavir Electronics Pvt Ltd</t>
        </is>
      </c>
      <c r="C45" s="10" t="n">
        <v>46199</v>
      </c>
      <c r="D45" t="inlineStr">
        <is>
          <t>Net 30</t>
        </is>
      </c>
      <c r="E45" s="11" t="n">
        <v>261000</v>
      </c>
      <c r="F45" s="11">
        <f>E45*0.18</f>
        <v/>
      </c>
      <c r="G45" s="11">
        <f>E45+F45</f>
        <v/>
      </c>
      <c r="H45" s="10">
        <f>C45+VALUE(MID(D45,5,3))</f>
        <v/>
      </c>
      <c r="I45" s="11" t="n">
        <v>307980</v>
      </c>
      <c r="J45" s="11">
        <f>G45-I45</f>
        <v/>
      </c>
      <c r="K45" s="12">
        <f>MAX(0,'Overview'!$B$5-H45)</f>
        <v/>
      </c>
      <c r="L45">
        <f>IF(J45&lt;=0,"Paid",IF(K45&gt;0,"Overdue","Open-not-due"))</f>
        <v/>
      </c>
    </row>
    <row r="46">
      <c r="A46" t="inlineStr">
        <is>
          <t>INV-26-0043</t>
        </is>
      </c>
      <c r="B46" t="inlineStr">
        <is>
          <t>Mahavir Electronics Pvt Ltd</t>
        </is>
      </c>
      <c r="C46" s="10" t="n">
        <v>46200</v>
      </c>
      <c r="D46" t="inlineStr">
        <is>
          <t>Net 30</t>
        </is>
      </c>
      <c r="E46" s="11" t="n">
        <v>187000</v>
      </c>
      <c r="F46" s="11">
        <f>E46*0.18</f>
        <v/>
      </c>
      <c r="G46" s="11">
        <f>E46+F46</f>
        <v/>
      </c>
      <c r="H46" s="10">
        <f>C46+VALUE(MID(D46,5,3))</f>
        <v/>
      </c>
      <c r="I46" s="11" t="n">
        <v>92000</v>
      </c>
      <c r="J46" s="11">
        <f>G46-I46</f>
        <v/>
      </c>
      <c r="K46" s="12">
        <f>MAX(0,'Overview'!$B$5-H46)</f>
        <v/>
      </c>
      <c r="L46">
        <f>IF(J46&lt;=0,"Paid",IF(K46&gt;0,"Overdue","Open-not-due"))</f>
        <v/>
      </c>
    </row>
    <row r="47">
      <c r="A47" t="inlineStr">
        <is>
          <t>INV-26-0044</t>
        </is>
      </c>
      <c r="B47" t="inlineStr">
        <is>
          <t>Deccan Cement Distributors Ltd</t>
        </is>
      </c>
      <c r="C47" s="10" t="n">
        <v>46202</v>
      </c>
      <c r="D47" t="inlineStr">
        <is>
          <t>Net 30</t>
        </is>
      </c>
      <c r="E47" s="11" t="n">
        <v>179000</v>
      </c>
      <c r="F47" s="11">
        <f>E47*0.18</f>
        <v/>
      </c>
      <c r="G47" s="11">
        <f>E47+F47</f>
        <v/>
      </c>
      <c r="H47" s="10">
        <f>C47+VALUE(MID(D47,5,3))</f>
        <v/>
      </c>
      <c r="I47" s="11" t="n">
        <v>0</v>
      </c>
      <c r="J47" s="11">
        <f>G47-I47</f>
        <v/>
      </c>
      <c r="K47" s="12">
        <f>MAX(0,'Overview'!$B$5-H47)</f>
        <v/>
      </c>
      <c r="L47">
        <f>IF(J47&lt;=0,"Paid",IF(K47&gt;0,"Overdue","Open-not-due"))</f>
        <v/>
      </c>
    </row>
    <row r="48">
      <c r="A48" t="inlineStr">
        <is>
          <t>INV-26-0045</t>
        </is>
      </c>
      <c r="B48" t="inlineStr">
        <is>
          <t>Indus Retail Chains Ltd</t>
        </is>
      </c>
      <c r="C48" s="10" t="n">
        <v>46203</v>
      </c>
      <c r="D48" t="inlineStr">
        <is>
          <t>Net 30</t>
        </is>
      </c>
      <c r="E48" s="11" t="n">
        <v>162000</v>
      </c>
      <c r="F48" s="11">
        <f>E48*0.18</f>
        <v/>
      </c>
      <c r="G48" s="11">
        <f>E48+F48</f>
        <v/>
      </c>
      <c r="H48" s="10">
        <f>C48+VALUE(MID(D48,5,3))</f>
        <v/>
      </c>
      <c r="I48" s="11" t="n">
        <v>191160</v>
      </c>
      <c r="J48" s="11">
        <f>G48-I48</f>
        <v/>
      </c>
      <c r="K48" s="12">
        <f>MAX(0,'Overview'!$B$5-H48)</f>
        <v/>
      </c>
      <c r="L48">
        <f>IF(J48&lt;=0,"Paid",IF(K48&gt;0,"Overdue","Open-not-due"))</f>
        <v/>
      </c>
    </row>
    <row r="49">
      <c r="A49" t="inlineStr">
        <is>
          <t>INV-26-0046</t>
        </is>
      </c>
      <c r="B49" t="inlineStr">
        <is>
          <t>Deccan Cement Distributors Ltd</t>
        </is>
      </c>
      <c r="C49" s="10" t="n">
        <v>46204</v>
      </c>
      <c r="D49" t="inlineStr">
        <is>
          <t>Net 30</t>
        </is>
      </c>
      <c r="E49" s="11" t="n">
        <v>143000</v>
      </c>
      <c r="F49" s="11">
        <f>E49*0.18</f>
        <v/>
      </c>
      <c r="G49" s="11">
        <f>E49+F49</f>
        <v/>
      </c>
      <c r="H49" s="10">
        <f>C49+VALUE(MID(D49,5,3))</f>
        <v/>
      </c>
      <c r="I49" s="11" t="n">
        <v>77000</v>
      </c>
      <c r="J49" s="11">
        <f>G49-I49</f>
        <v/>
      </c>
      <c r="K49" s="12">
        <f>MAX(0,'Overview'!$B$5-H49)</f>
        <v/>
      </c>
      <c r="L49">
        <f>IF(J49&lt;=0,"Paid",IF(K49&gt;0,"Overdue","Open-not-due"))</f>
        <v/>
      </c>
    </row>
    <row r="50">
      <c r="A50" t="inlineStr">
        <is>
          <t>INV-26-0047</t>
        </is>
      </c>
      <c r="B50" t="inlineStr">
        <is>
          <t>Indus Retail Chains Ltd</t>
        </is>
      </c>
      <c r="C50" s="10" t="n">
        <v>46204</v>
      </c>
      <c r="D50" t="inlineStr">
        <is>
          <t>Net 60</t>
        </is>
      </c>
      <c r="E50" s="11" t="n">
        <v>345000</v>
      </c>
      <c r="F50" s="11">
        <f>E50*0.18</f>
        <v/>
      </c>
      <c r="G50" s="11">
        <f>E50+F50</f>
        <v/>
      </c>
      <c r="H50" s="10">
        <f>C50+VALUE(MID(D50,5,3))</f>
        <v/>
      </c>
      <c r="I50" s="11" t="n">
        <v>407100</v>
      </c>
      <c r="J50" s="11">
        <f>G50-I50</f>
        <v/>
      </c>
      <c r="K50" s="12">
        <f>MAX(0,'Overview'!$B$5-H50)</f>
        <v/>
      </c>
      <c r="L50">
        <f>IF(J50&lt;=0,"Paid",IF(K50&gt;0,"Overdue","Open-not-due"))</f>
        <v/>
      </c>
    </row>
    <row r="51">
      <c r="A51" t="inlineStr">
        <is>
          <t>INV-26-0048</t>
        </is>
      </c>
      <c r="B51" t="inlineStr">
        <is>
          <t>Zenith InfoTech Pvt Ltd</t>
        </is>
      </c>
      <c r="C51" s="10" t="n">
        <v>46205</v>
      </c>
      <c r="D51" t="inlineStr">
        <is>
          <t>Net 30</t>
        </is>
      </c>
      <c r="E51" s="11" t="n">
        <v>260000</v>
      </c>
      <c r="F51" s="11">
        <f>E51*0.18</f>
        <v/>
      </c>
      <c r="G51" s="11">
        <f>E51+F51</f>
        <v/>
      </c>
      <c r="H51" s="10">
        <f>C51+VALUE(MID(D51,5,3))</f>
        <v/>
      </c>
      <c r="I51" s="11" t="n">
        <v>129000</v>
      </c>
      <c r="J51" s="11">
        <f>G51-I51</f>
        <v/>
      </c>
      <c r="K51" s="12">
        <f>MAX(0,'Overview'!$B$5-H51)</f>
        <v/>
      </c>
      <c r="L51">
        <f>IF(J51&lt;=0,"Paid",IF(K51&gt;0,"Overdue","Open-not-due"))</f>
        <v/>
      </c>
    </row>
    <row r="52">
      <c r="A52" t="inlineStr">
        <is>
          <t>INV-26-0049</t>
        </is>
      </c>
      <c r="B52" t="inlineStr">
        <is>
          <t>Indus Retail Chains Ltd</t>
        </is>
      </c>
      <c r="C52" s="10" t="n">
        <v>46206</v>
      </c>
      <c r="D52" t="inlineStr">
        <is>
          <t>Net 30</t>
        </is>
      </c>
      <c r="E52" s="11" t="n">
        <v>345000</v>
      </c>
      <c r="F52" s="11">
        <f>E52*0.18</f>
        <v/>
      </c>
      <c r="G52" s="11">
        <f>E52+F52</f>
        <v/>
      </c>
      <c r="H52" s="10">
        <f>C52+VALUE(MID(D52,5,3))</f>
        <v/>
      </c>
      <c r="I52" s="11" t="n">
        <v>407100</v>
      </c>
      <c r="J52" s="11">
        <f>G52-I52</f>
        <v/>
      </c>
      <c r="K52" s="12">
        <f>MAX(0,'Overview'!$B$5-H52)</f>
        <v/>
      </c>
      <c r="L52">
        <f>IF(J52&lt;=0,"Paid",IF(K52&gt;0,"Overdue","Open-not-due"))</f>
        <v/>
      </c>
    </row>
    <row r="53">
      <c r="A53" t="inlineStr">
        <is>
          <t>INV-26-0050</t>
        </is>
      </c>
      <c r="B53" t="inlineStr">
        <is>
          <t>Coral Reef Hospitality Pvt Ltd</t>
        </is>
      </c>
      <c r="C53" s="10" t="n">
        <v>46208</v>
      </c>
      <c r="D53" t="inlineStr">
        <is>
          <t>Net 45</t>
        </is>
      </c>
      <c r="E53" s="11" t="n">
        <v>105000</v>
      </c>
      <c r="F53" s="11">
        <f>E53*0.18</f>
        <v/>
      </c>
      <c r="G53" s="11">
        <f>E53+F53</f>
        <v/>
      </c>
      <c r="H53" s="10">
        <f>C53+VALUE(MID(D53,5,3))</f>
        <v/>
      </c>
      <c r="I53" s="11" t="n">
        <v>123900</v>
      </c>
      <c r="J53" s="11">
        <f>G53-I53</f>
        <v/>
      </c>
      <c r="K53" s="12">
        <f>MAX(0,'Overview'!$B$5-H53)</f>
        <v/>
      </c>
      <c r="L53">
        <f>IF(J53&lt;=0,"Paid",IF(K53&gt;0,"Overdue","Open-not-due"))</f>
        <v/>
      </c>
    </row>
    <row r="54">
      <c r="A54" t="inlineStr">
        <is>
          <t>INV-26-0051</t>
        </is>
      </c>
      <c r="B54" t="inlineStr">
        <is>
          <t>Shakti Power Equipment Ltd</t>
        </is>
      </c>
      <c r="C54" s="10" t="n">
        <v>46208</v>
      </c>
      <c r="D54" t="inlineStr">
        <is>
          <t>Net 45</t>
        </is>
      </c>
      <c r="E54" s="11" t="n">
        <v>64000</v>
      </c>
      <c r="F54" s="11">
        <f>E54*0.18</f>
        <v/>
      </c>
      <c r="G54" s="11">
        <f>E54+F54</f>
        <v/>
      </c>
      <c r="H54" s="10">
        <f>C54+VALUE(MID(D54,5,3))</f>
        <v/>
      </c>
      <c r="I54" s="11" t="n">
        <v>75520</v>
      </c>
      <c r="J54" s="11">
        <f>G54-I54</f>
        <v/>
      </c>
      <c r="K54" s="12">
        <f>MAX(0,'Overview'!$B$5-H54)</f>
        <v/>
      </c>
      <c r="L54">
        <f>IF(J54&lt;=0,"Paid",IF(K54&gt;0,"Overdue","Open-not-due"))</f>
        <v/>
      </c>
    </row>
    <row r="55">
      <c r="A55" t="inlineStr">
        <is>
          <t>INV-26-0052</t>
        </is>
      </c>
      <c r="B55" t="inlineStr">
        <is>
          <t>Orion Pharma Services Ltd</t>
        </is>
      </c>
      <c r="C55" s="10" t="n">
        <v>46212</v>
      </c>
      <c r="D55" t="inlineStr">
        <is>
          <t>Net 30</t>
        </is>
      </c>
      <c r="E55" s="11" t="n">
        <v>225000</v>
      </c>
      <c r="F55" s="11">
        <f>E55*0.18</f>
        <v/>
      </c>
      <c r="G55" s="11">
        <f>E55+F55</f>
        <v/>
      </c>
      <c r="H55" s="10">
        <f>C55+VALUE(MID(D55,5,3))</f>
        <v/>
      </c>
      <c r="I55" s="11" t="n">
        <v>154000</v>
      </c>
      <c r="J55" s="11">
        <f>G55-I55</f>
        <v/>
      </c>
      <c r="K55" s="12">
        <f>MAX(0,'Overview'!$B$5-H55)</f>
        <v/>
      </c>
      <c r="L55">
        <f>IF(J55&lt;=0,"Paid",IF(K55&gt;0,"Overdue","Open-not-due"))</f>
        <v/>
      </c>
    </row>
    <row r="56">
      <c r="A56" t="inlineStr">
        <is>
          <t>INV-26-0053</t>
        </is>
      </c>
      <c r="B56" t="inlineStr">
        <is>
          <t>Mahavir Electronics Pvt Ltd</t>
        </is>
      </c>
      <c r="C56" s="10" t="n">
        <v>46217</v>
      </c>
      <c r="D56" t="inlineStr">
        <is>
          <t>Net 30</t>
        </is>
      </c>
      <c r="E56" s="11" t="n">
        <v>147000</v>
      </c>
      <c r="F56" s="11">
        <f>E56*0.18</f>
        <v/>
      </c>
      <c r="G56" s="11">
        <f>E56+F56</f>
        <v/>
      </c>
      <c r="H56" s="10">
        <f>C56+VALUE(MID(D56,5,3))</f>
        <v/>
      </c>
      <c r="I56" s="11" t="n">
        <v>173460</v>
      </c>
      <c r="J56" s="11">
        <f>G56-I56</f>
        <v/>
      </c>
      <c r="K56" s="12">
        <f>MAX(0,'Overview'!$B$5-H56)</f>
        <v/>
      </c>
      <c r="L56">
        <f>IF(J56&lt;=0,"Paid",IF(K56&gt;0,"Overdue","Open-not-due"))</f>
        <v/>
      </c>
    </row>
    <row r="57">
      <c r="A57" t="inlineStr">
        <is>
          <t>INV-26-0054</t>
        </is>
      </c>
      <c r="B57" t="inlineStr">
        <is>
          <t>Indus Retail Chains Ltd</t>
        </is>
      </c>
      <c r="C57" s="10" t="n">
        <v>46224</v>
      </c>
      <c r="D57" t="inlineStr">
        <is>
          <t>Net 45</t>
        </is>
      </c>
      <c r="E57" s="11" t="n">
        <v>208000</v>
      </c>
      <c r="F57" s="11">
        <f>E57*0.18</f>
        <v/>
      </c>
      <c r="G57" s="11">
        <f>E57+F57</f>
        <v/>
      </c>
      <c r="H57" s="10">
        <f>C57+VALUE(MID(D57,5,3))</f>
        <v/>
      </c>
      <c r="I57" s="11" t="n">
        <v>245440</v>
      </c>
      <c r="J57" s="11">
        <f>G57-I57</f>
        <v/>
      </c>
      <c r="K57" s="12">
        <f>MAX(0,'Overview'!$B$5-H57)</f>
        <v/>
      </c>
      <c r="L57">
        <f>IF(J57&lt;=0,"Paid",IF(K57&gt;0,"Overdue","Open-not-due"))</f>
        <v/>
      </c>
    </row>
    <row r="58">
      <c r="A58" t="inlineStr">
        <is>
          <t>INV-26-0055</t>
        </is>
      </c>
      <c r="B58" t="inlineStr">
        <is>
          <t>Zenith InfoTech Pvt Ltd</t>
        </is>
      </c>
      <c r="C58" s="10" t="n">
        <v>46225</v>
      </c>
      <c r="D58" t="inlineStr">
        <is>
          <t>Net 30</t>
        </is>
      </c>
      <c r="E58" s="11" t="n">
        <v>233000</v>
      </c>
      <c r="F58" s="11">
        <f>E58*0.18</f>
        <v/>
      </c>
      <c r="G58" s="11">
        <f>E58+F58</f>
        <v/>
      </c>
      <c r="H58" s="10">
        <f>C58+VALUE(MID(D58,5,3))</f>
        <v/>
      </c>
      <c r="I58" s="11" t="n">
        <v>274940</v>
      </c>
      <c r="J58" s="11">
        <f>G58-I58</f>
        <v/>
      </c>
      <c r="K58" s="12">
        <f>MAX(0,'Overview'!$B$5-H58)</f>
        <v/>
      </c>
      <c r="L58">
        <f>IF(J58&lt;=0,"Paid",IF(K58&gt;0,"Overdue","Open-not-due"))</f>
        <v/>
      </c>
    </row>
    <row r="59">
      <c r="A59" t="inlineStr">
        <is>
          <t>INV-26-0056</t>
        </is>
      </c>
      <c r="B59" t="inlineStr">
        <is>
          <t>Anjali Textiles Pvt Ltd</t>
        </is>
      </c>
      <c r="C59" s="10" t="n">
        <v>46230</v>
      </c>
      <c r="D59" t="inlineStr">
        <is>
          <t>Net 30</t>
        </is>
      </c>
      <c r="E59" s="11" t="n">
        <v>79000</v>
      </c>
      <c r="F59" s="11">
        <f>E59*0.18</f>
        <v/>
      </c>
      <c r="G59" s="11">
        <f>E59+F59</f>
        <v/>
      </c>
      <c r="H59" s="10">
        <f>C59+VALUE(MID(D59,5,3))</f>
        <v/>
      </c>
      <c r="I59" s="11" t="n">
        <v>38000</v>
      </c>
      <c r="J59" s="11">
        <f>G59-I59</f>
        <v/>
      </c>
      <c r="K59" s="12">
        <f>MAX(0,'Overview'!$B$5-H59)</f>
        <v/>
      </c>
      <c r="L59">
        <f>IF(J59&lt;=0,"Paid",IF(K59&gt;0,"Overdue","Open-not-due"))</f>
        <v/>
      </c>
    </row>
    <row r="60">
      <c r="A60" t="inlineStr">
        <is>
          <t>INV-26-0057</t>
        </is>
      </c>
      <c r="B60" t="inlineStr">
        <is>
          <t>Kaveri Financiers Ltd</t>
        </is>
      </c>
      <c r="C60" s="10" t="n">
        <v>46230</v>
      </c>
      <c r="D60" t="inlineStr">
        <is>
          <t>Net 60</t>
        </is>
      </c>
      <c r="E60" s="11" t="n">
        <v>121000</v>
      </c>
      <c r="F60" s="11">
        <f>E60*0.18</f>
        <v/>
      </c>
      <c r="G60" s="11">
        <f>E60+F60</f>
        <v/>
      </c>
      <c r="H60" s="10">
        <f>C60+VALUE(MID(D60,5,3))</f>
        <v/>
      </c>
      <c r="I60" s="11" t="n">
        <v>142780</v>
      </c>
      <c r="J60" s="11">
        <f>G60-I60</f>
        <v/>
      </c>
      <c r="K60" s="12">
        <f>MAX(0,'Overview'!$B$5-H60)</f>
        <v/>
      </c>
      <c r="L60">
        <f>IF(J60&lt;=0,"Paid",IF(K60&gt;0,"Overdue","Open-not-due"))</f>
        <v/>
      </c>
    </row>
    <row r="61">
      <c r="A61" t="inlineStr">
        <is>
          <t>INV-26-0058</t>
        </is>
      </c>
      <c r="B61" t="inlineStr">
        <is>
          <t>Trishul Engineering Works</t>
        </is>
      </c>
      <c r="C61" s="10" t="n">
        <v>46230</v>
      </c>
      <c r="D61" t="inlineStr">
        <is>
          <t>Net 45</t>
        </is>
      </c>
      <c r="E61" s="11" t="n">
        <v>188000</v>
      </c>
      <c r="F61" s="11">
        <f>E61*0.18</f>
        <v/>
      </c>
      <c r="G61" s="11">
        <f>E61+F61</f>
        <v/>
      </c>
      <c r="H61" s="10">
        <f>C61+VALUE(MID(D61,5,3))</f>
        <v/>
      </c>
      <c r="I61" s="11" t="n">
        <v>221840</v>
      </c>
      <c r="J61" s="11">
        <f>G61-I61</f>
        <v/>
      </c>
      <c r="K61" s="12">
        <f>MAX(0,'Overview'!$B$5-H61)</f>
        <v/>
      </c>
      <c r="L61">
        <f>IF(J61&lt;=0,"Paid",IF(K61&gt;0,"Overdue","Open-not-due"))</f>
        <v/>
      </c>
    </row>
    <row r="62">
      <c r="A62" t="inlineStr">
        <is>
          <t>INV-26-0059</t>
        </is>
      </c>
      <c r="B62" t="inlineStr">
        <is>
          <t>Mahavir Electronics Pvt Ltd</t>
        </is>
      </c>
      <c r="C62" s="10" t="n">
        <v>46231</v>
      </c>
      <c r="D62" t="inlineStr">
        <is>
          <t>Net 45</t>
        </is>
      </c>
      <c r="E62" s="11" t="n">
        <v>144000</v>
      </c>
      <c r="F62" s="11">
        <f>E62*0.18</f>
        <v/>
      </c>
      <c r="G62" s="11">
        <f>E62+F62</f>
        <v/>
      </c>
      <c r="H62" s="10">
        <f>C62+VALUE(MID(D62,5,3))</f>
        <v/>
      </c>
      <c r="I62" s="11" t="n">
        <v>169920</v>
      </c>
      <c r="J62" s="11">
        <f>G62-I62</f>
        <v/>
      </c>
      <c r="K62" s="12">
        <f>MAX(0,'Overview'!$B$5-H62)</f>
        <v/>
      </c>
      <c r="L62">
        <f>IF(J62&lt;=0,"Paid",IF(K62&gt;0,"Overdue","Open-not-due"))</f>
        <v/>
      </c>
    </row>
    <row r="63">
      <c r="A63" t="inlineStr">
        <is>
          <t>INV-26-0060</t>
        </is>
      </c>
      <c r="B63" t="inlineStr">
        <is>
          <t>Zenith InfoTech Pvt Ltd</t>
        </is>
      </c>
      <c r="C63" s="10" t="n">
        <v>46231</v>
      </c>
      <c r="D63" t="inlineStr">
        <is>
          <t>Net 60</t>
        </is>
      </c>
      <c r="E63" s="11" t="n">
        <v>172000</v>
      </c>
      <c r="F63" s="11">
        <f>E63*0.18</f>
        <v/>
      </c>
      <c r="G63" s="11">
        <f>E63+F63</f>
        <v/>
      </c>
      <c r="H63" s="10">
        <f>C63+VALUE(MID(D63,5,3))</f>
        <v/>
      </c>
      <c r="I63" s="11" t="n">
        <v>0</v>
      </c>
      <c r="J63" s="11">
        <f>G63-I63</f>
        <v/>
      </c>
      <c r="K63" s="12">
        <f>MAX(0,'Overview'!$B$5-H63)</f>
        <v/>
      </c>
      <c r="L63">
        <f>IF(J63&lt;=0,"Paid",IF(K63&gt;0,"Overdue","Open-not-due"))</f>
        <v/>
      </c>
    </row>
    <row r="64">
      <c r="A64" t="inlineStr">
        <is>
          <t>INV-26-0061</t>
        </is>
      </c>
      <c r="B64" t="inlineStr">
        <is>
          <t>Trishul Engineering Works</t>
        </is>
      </c>
      <c r="C64" s="10" t="n">
        <v>46232</v>
      </c>
      <c r="D64" t="inlineStr">
        <is>
          <t>Net 30</t>
        </is>
      </c>
      <c r="E64" s="11" t="n">
        <v>257000</v>
      </c>
      <c r="F64" s="11">
        <f>E64*0.18</f>
        <v/>
      </c>
      <c r="G64" s="11">
        <f>E64+F64</f>
        <v/>
      </c>
      <c r="H64" s="10">
        <f>C64+VALUE(MID(D64,5,3))</f>
        <v/>
      </c>
      <c r="I64" s="11" t="n">
        <v>303260</v>
      </c>
      <c r="J64" s="11">
        <f>G64-I64</f>
        <v/>
      </c>
      <c r="K64" s="12">
        <f>MAX(0,'Overview'!$B$5-H64)</f>
        <v/>
      </c>
      <c r="L64">
        <f>IF(J64&lt;=0,"Paid",IF(K64&gt;0,"Overdue","Open-not-due"))</f>
        <v/>
      </c>
    </row>
    <row r="65">
      <c r="A65" t="inlineStr">
        <is>
          <t>INV-26-0062</t>
        </is>
      </c>
      <c r="B65" t="inlineStr">
        <is>
          <t>Nimbus Cloud Solutions Pvt Ltd</t>
        </is>
      </c>
      <c r="C65" s="10" t="n">
        <v>46236</v>
      </c>
      <c r="D65" t="inlineStr">
        <is>
          <t>Net 30</t>
        </is>
      </c>
      <c r="E65" s="11" t="n">
        <v>53000</v>
      </c>
      <c r="F65" s="11">
        <f>E65*0.18</f>
        <v/>
      </c>
      <c r="G65" s="11">
        <f>E65+F65</f>
        <v/>
      </c>
      <c r="H65" s="10">
        <f>C65+VALUE(MID(D65,5,3))</f>
        <v/>
      </c>
      <c r="I65" s="11" t="n">
        <v>62540</v>
      </c>
      <c r="J65" s="11">
        <f>G65-I65</f>
        <v/>
      </c>
      <c r="K65" s="12">
        <f>MAX(0,'Overview'!$B$5-H65)</f>
        <v/>
      </c>
      <c r="L65">
        <f>IF(J65&lt;=0,"Paid",IF(K65&gt;0,"Overdue","Open-not-due"))</f>
        <v/>
      </c>
    </row>
    <row r="66">
      <c r="A66" t="inlineStr">
        <is>
          <t>INV-26-0063</t>
        </is>
      </c>
      <c r="B66" t="inlineStr">
        <is>
          <t>Prisma Media Networks Pvt Ltd</t>
        </is>
      </c>
      <c r="C66" s="10" t="n">
        <v>46244</v>
      </c>
      <c r="D66" t="inlineStr">
        <is>
          <t>Net 45</t>
        </is>
      </c>
      <c r="E66" s="11" t="n">
        <v>114000</v>
      </c>
      <c r="F66" s="11">
        <f>E66*0.18</f>
        <v/>
      </c>
      <c r="G66" s="11">
        <f>E66+F66</f>
        <v/>
      </c>
      <c r="H66" s="10">
        <f>C66+VALUE(MID(D66,5,3))</f>
        <v/>
      </c>
      <c r="I66" s="11" t="n">
        <v>89000</v>
      </c>
      <c r="J66" s="11">
        <f>G66-I66</f>
        <v/>
      </c>
      <c r="K66" s="12">
        <f>MAX(0,'Overview'!$B$5-H66)</f>
        <v/>
      </c>
      <c r="L66">
        <f>IF(J66&lt;=0,"Paid",IF(K66&gt;0,"Overdue","Open-not-due"))</f>
        <v/>
      </c>
    </row>
    <row r="67">
      <c r="A67" t="inlineStr">
        <is>
          <t>INV-26-0064</t>
        </is>
      </c>
      <c r="B67" t="inlineStr">
        <is>
          <t>GreenLeaf Agro Foods Pvt Ltd</t>
        </is>
      </c>
      <c r="C67" s="10" t="n">
        <v>46246</v>
      </c>
      <c r="D67" t="inlineStr">
        <is>
          <t>Net 30</t>
        </is>
      </c>
      <c r="E67" s="11" t="n">
        <v>70000</v>
      </c>
      <c r="F67" s="11">
        <f>E67*0.18</f>
        <v/>
      </c>
      <c r="G67" s="11">
        <f>E67+F67</f>
        <v/>
      </c>
      <c r="H67" s="10">
        <f>C67+VALUE(MID(D67,5,3))</f>
        <v/>
      </c>
      <c r="I67" s="11" t="n">
        <v>0</v>
      </c>
      <c r="J67" s="11">
        <f>G67-I67</f>
        <v/>
      </c>
      <c r="K67" s="12">
        <f>MAX(0,'Overview'!$B$5-H67)</f>
        <v/>
      </c>
      <c r="L67">
        <f>IF(J67&lt;=0,"Paid",IF(K67&gt;0,"Overdue","Open-not-due"))</f>
        <v/>
      </c>
    </row>
    <row r="68">
      <c r="A68" t="inlineStr">
        <is>
          <t>INV-26-0065</t>
        </is>
      </c>
      <c r="B68" t="inlineStr">
        <is>
          <t>Zenith InfoTech Pvt Ltd</t>
        </is>
      </c>
      <c r="C68" s="10" t="n">
        <v>46247</v>
      </c>
      <c r="D68" t="inlineStr">
        <is>
          <t>Net 30</t>
        </is>
      </c>
      <c r="E68" s="11" t="n">
        <v>345000</v>
      </c>
      <c r="F68" s="11">
        <f>E68*0.18</f>
        <v/>
      </c>
      <c r="G68" s="11">
        <f>E68+F68</f>
        <v/>
      </c>
      <c r="H68" s="10">
        <f>C68+VALUE(MID(D68,5,3))</f>
        <v/>
      </c>
      <c r="I68" s="11" t="n">
        <v>0</v>
      </c>
      <c r="J68" s="11">
        <f>G68-I68</f>
        <v/>
      </c>
      <c r="K68" s="12">
        <f>MAX(0,'Overview'!$B$5-H68)</f>
        <v/>
      </c>
      <c r="L68">
        <f>IF(J68&lt;=0,"Paid",IF(K68&gt;0,"Overdue","Open-not-due"))</f>
        <v/>
      </c>
    </row>
    <row r="69">
      <c r="A69" t="inlineStr">
        <is>
          <t>INV-26-0066</t>
        </is>
      </c>
      <c r="B69" t="inlineStr">
        <is>
          <t>Deccan Cement Distributors Ltd</t>
        </is>
      </c>
      <c r="C69" s="10" t="n">
        <v>46256</v>
      </c>
      <c r="D69" t="inlineStr">
        <is>
          <t>Net 30</t>
        </is>
      </c>
      <c r="E69" s="11" t="n">
        <v>151000</v>
      </c>
      <c r="F69" s="11">
        <f>E69*0.18</f>
        <v/>
      </c>
      <c r="G69" s="11">
        <f>E69+F69</f>
        <v/>
      </c>
      <c r="H69" s="10">
        <f>C69+VALUE(MID(D69,5,3))</f>
        <v/>
      </c>
      <c r="I69" s="11" t="n">
        <v>178180</v>
      </c>
      <c r="J69" s="11">
        <f>G69-I69</f>
        <v/>
      </c>
      <c r="K69" s="12">
        <f>MAX(0,'Overview'!$B$5-H69)</f>
        <v/>
      </c>
      <c r="L69">
        <f>IF(J69&lt;=0,"Paid",IF(K69&gt;0,"Overdue","Open-not-due"))</f>
        <v/>
      </c>
    </row>
    <row r="70">
      <c r="A70" t="inlineStr">
        <is>
          <t>INV-26-0067</t>
        </is>
      </c>
      <c r="B70" t="inlineStr">
        <is>
          <t>Suryan Logistics Pvt Ltd</t>
        </is>
      </c>
      <c r="C70" s="10" t="n">
        <v>46256</v>
      </c>
      <c r="D70" t="inlineStr">
        <is>
          <t>Net 60</t>
        </is>
      </c>
      <c r="E70" s="11" t="n">
        <v>236000</v>
      </c>
      <c r="F70" s="11">
        <f>E70*0.18</f>
        <v/>
      </c>
      <c r="G70" s="11">
        <f>E70+F70</f>
        <v/>
      </c>
      <c r="H70" s="10">
        <f>C70+VALUE(MID(D70,5,3))</f>
        <v/>
      </c>
      <c r="I70" s="11" t="n">
        <v>278480</v>
      </c>
      <c r="J70" s="11">
        <f>G70-I70</f>
        <v/>
      </c>
      <c r="K70" s="12">
        <f>MAX(0,'Overview'!$B$5-H70)</f>
        <v/>
      </c>
      <c r="L70">
        <f>IF(J70&lt;=0,"Paid",IF(K70&gt;0,"Overdue","Open-not-due"))</f>
        <v/>
      </c>
    </row>
    <row r="71">
      <c r="A71" t="inlineStr">
        <is>
          <t>INV-26-0068</t>
        </is>
      </c>
      <c r="B71" t="inlineStr">
        <is>
          <t>Indus Retail Chains Ltd</t>
        </is>
      </c>
      <c r="C71" s="10" t="n">
        <v>46260</v>
      </c>
      <c r="D71" t="inlineStr">
        <is>
          <t>Net 60</t>
        </is>
      </c>
      <c r="E71" s="11" t="n">
        <v>351000</v>
      </c>
      <c r="F71" s="11">
        <f>E71*0.18</f>
        <v/>
      </c>
      <c r="G71" s="11">
        <f>E71+F71</f>
        <v/>
      </c>
      <c r="H71" s="10">
        <f>C71+VALUE(MID(D71,5,3))</f>
        <v/>
      </c>
      <c r="I71" s="11" t="n">
        <v>414180</v>
      </c>
      <c r="J71" s="11">
        <f>G71-I71</f>
        <v/>
      </c>
      <c r="K71" s="12">
        <f>MAX(0,'Overview'!$B$5-H71)</f>
        <v/>
      </c>
      <c r="L71">
        <f>IF(J71&lt;=0,"Paid",IF(K71&gt;0,"Overdue","Open-not-due"))</f>
        <v/>
      </c>
    </row>
    <row r="72">
      <c r="A72" t="inlineStr">
        <is>
          <t>INV-26-0069</t>
        </is>
      </c>
      <c r="B72" t="inlineStr">
        <is>
          <t>Trident Auto Components Ltd</t>
        </is>
      </c>
      <c r="C72" s="10" t="n">
        <v>46263</v>
      </c>
      <c r="D72" t="inlineStr">
        <is>
          <t>Net 30</t>
        </is>
      </c>
      <c r="E72" s="11" t="n">
        <v>119000</v>
      </c>
      <c r="F72" s="11">
        <f>E72*0.18</f>
        <v/>
      </c>
      <c r="G72" s="11">
        <f>E72+F72</f>
        <v/>
      </c>
      <c r="H72" s="10">
        <f>C72+VALUE(MID(D72,5,3))</f>
        <v/>
      </c>
      <c r="I72" s="11" t="n">
        <v>0</v>
      </c>
      <c r="J72" s="11">
        <f>G72-I72</f>
        <v/>
      </c>
      <c r="K72" s="12">
        <f>MAX(0,'Overview'!$B$5-H72)</f>
        <v/>
      </c>
      <c r="L72">
        <f>IF(J72&lt;=0,"Paid",IF(K72&gt;0,"Overdue","Open-not-due"))</f>
        <v/>
      </c>
    </row>
    <row r="73">
      <c r="A73" t="inlineStr">
        <is>
          <t>INV-26-0070</t>
        </is>
      </c>
      <c r="B73" t="inlineStr">
        <is>
          <t>Suryan Logistics Pvt Ltd</t>
        </is>
      </c>
      <c r="C73" s="10" t="n">
        <v>46264</v>
      </c>
      <c r="D73" t="inlineStr">
        <is>
          <t>Net 30</t>
        </is>
      </c>
      <c r="E73" s="11" t="n">
        <v>234000</v>
      </c>
      <c r="F73" s="11">
        <f>E73*0.18</f>
        <v/>
      </c>
      <c r="G73" s="11">
        <f>E73+F73</f>
        <v/>
      </c>
      <c r="H73" s="10">
        <f>C73+VALUE(MID(D73,5,3))</f>
        <v/>
      </c>
      <c r="I73" s="11" t="n">
        <v>276120</v>
      </c>
      <c r="J73" s="11">
        <f>G73-I73</f>
        <v/>
      </c>
      <c r="K73" s="12">
        <f>MAX(0,'Overview'!$B$5-H73)</f>
        <v/>
      </c>
      <c r="L73">
        <f>IF(J73&lt;=0,"Paid",IF(K73&gt;0,"Overdue","Open-not-due"))</f>
        <v/>
      </c>
    </row>
    <row r="74">
      <c r="A74" s="13" t="inlineStr">
        <is>
          <t>TOTAL</t>
        </is>
      </c>
      <c r="B74" s="13" t="n"/>
      <c r="C74" s="13" t="n"/>
      <c r="D74" s="13" t="n"/>
      <c r="E74" s="14">
        <f>SUM(E4:E73)</f>
        <v/>
      </c>
      <c r="F74" s="14">
        <f>SUM(F4:F73)</f>
        <v/>
      </c>
      <c r="G74" s="14">
        <f>SUM(G4:G73)</f>
        <v/>
      </c>
      <c r="H74" s="13" t="n"/>
      <c r="I74" s="14">
        <f>SUM(I4:I73)</f>
        <v/>
      </c>
      <c r="J74" s="14">
        <f>SUM(J4:J73)</f>
        <v/>
      </c>
      <c r="K74" s="13" t="n"/>
      <c r="L74" s="13" t="n"/>
    </row>
  </sheetData>
  <autoFilter ref="A3:L73"/>
  <mergeCells count="2">
    <mergeCell ref="A2:L2"/>
    <mergeCell ref="A1:L1"/>
  </mergeCells>
  <conditionalFormatting sqref="K4:K73">
    <cfRule type="cellIs" priority="1" operator="greaterThanOrEqual" dxfId="0">
      <formula>90</formula>
    </cfRule>
  </conditionalFormatting>
  <dataValidations count="1">
    <dataValidation sqref="D4:D73" showDropDown="0" showInputMessage="0" showErrorMessage="0" allowBlank="1" type="list">
      <formula1>"Net 30,Net 45,Net 60"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20" customWidth="1" min="2" max="2"/>
    <col width="14" customWidth="1" min="3" max="3"/>
    <col width="16" customWidth="1" min="4" max="4"/>
  </cols>
  <sheetData>
    <row r="1" ht="26" customHeight="1">
      <c r="A1" s="8" t="inlineStr">
        <is>
          <t>Aging Summary as of 31-Aug-2026</t>
        </is>
      </c>
    </row>
    <row r="2">
      <c r="A2" s="2" t="inlineStr">
        <is>
          <t>Outstanding balances bucketed by days overdue (SUMIFS / COUNTIFS over the Invoices sheet) - Rs</t>
        </is>
      </c>
    </row>
    <row r="3" ht="24" customHeight="1">
      <c r="A3" s="9" t="inlineStr">
        <is>
          <t>Bucket</t>
        </is>
      </c>
      <c r="B3" s="9" t="inlineStr">
        <is>
          <t>Amount</t>
        </is>
      </c>
      <c r="C3" s="9" t="inlineStr">
        <is>
          <t>% of Total</t>
        </is>
      </c>
      <c r="D3" s="9" t="inlineStr">
        <is>
          <t>Invoice Count</t>
        </is>
      </c>
    </row>
    <row r="4">
      <c r="A4" t="inlineStr">
        <is>
          <t>Current (not yet due)</t>
        </is>
      </c>
      <c r="B4" s="11">
        <f>SUMIFS(Invoices!$J$4:$J$73,Invoices!$K$4:$K$73,"&lt;=0")</f>
        <v/>
      </c>
      <c r="C4" s="15">
        <f>IF($B$9=0,0,B4/$B$9)</f>
        <v/>
      </c>
      <c r="D4" s="12">
        <f>COUNTIFS(Invoices!$J$4:$J$73,"&gt;0",Invoices!$K$4:$K$73,"&lt;=0")</f>
        <v/>
      </c>
    </row>
    <row r="5">
      <c r="A5" t="inlineStr">
        <is>
          <t>1-30 days overdue</t>
        </is>
      </c>
      <c r="B5" s="11">
        <f>SUMIFS(Invoices!$J$4:$J$73,Invoices!$K$4:$K$73,"&gt;0",Invoices!$K$4:$K$73,"&lt;=30")</f>
        <v/>
      </c>
      <c r="C5" s="15">
        <f>IF($B$9=0,0,B5/$B$9)</f>
        <v/>
      </c>
      <c r="D5" s="12">
        <f>COUNTIFS(Invoices!$J$4:$J$73,"&gt;0",Invoices!$K$4:$K$73,"&gt;0",Invoices!$K$4:$K$73,"&lt;=30")</f>
        <v/>
      </c>
    </row>
    <row r="6">
      <c r="A6" t="inlineStr">
        <is>
          <t>31-60 days overdue</t>
        </is>
      </c>
      <c r="B6" s="11">
        <f>SUMIFS(Invoices!$J$4:$J$73,Invoices!$K$4:$K$73,"&gt;30",Invoices!$K$4:$K$73,"&lt;=60")</f>
        <v/>
      </c>
      <c r="C6" s="15">
        <f>IF($B$9=0,0,B6/$B$9)</f>
        <v/>
      </c>
      <c r="D6" s="12">
        <f>COUNTIFS(Invoices!$J$4:$J$73,"&gt;0",Invoices!$K$4:$K$73,"&gt;30",Invoices!$K$4:$K$73,"&lt;=60")</f>
        <v/>
      </c>
    </row>
    <row r="7">
      <c r="A7" t="inlineStr">
        <is>
          <t>61-90 days overdue</t>
        </is>
      </c>
      <c r="B7" s="11">
        <f>SUMIFS(Invoices!$J$4:$J$73,Invoices!$K$4:$K$73,"&gt;60",Invoices!$K$4:$K$73,"&lt;=90")</f>
        <v/>
      </c>
      <c r="C7" s="15">
        <f>IF($B$9=0,0,B7/$B$9)</f>
        <v/>
      </c>
      <c r="D7" s="12">
        <f>COUNTIFS(Invoices!$J$4:$J$73,"&gt;0",Invoices!$K$4:$K$73,"&gt;60",Invoices!$K$4:$K$73,"&lt;=90")</f>
        <v/>
      </c>
    </row>
    <row r="8">
      <c r="A8" t="inlineStr">
        <is>
          <t>90+ days overdue</t>
        </is>
      </c>
      <c r="B8" s="11">
        <f>SUMIFS(Invoices!$J$4:$J$73,Invoices!$K$4:$K$73,"&gt;90")</f>
        <v/>
      </c>
      <c r="C8" s="15">
        <f>IF($B$9=0,0,B8/$B$9)</f>
        <v/>
      </c>
      <c r="D8" s="12">
        <f>COUNTIFS(Invoices!$J$4:$J$73,"&gt;0",Invoices!$K$4:$K$73,"&gt;90")</f>
        <v/>
      </c>
    </row>
    <row r="9">
      <c r="A9" s="13" t="inlineStr">
        <is>
          <t>TOTAL</t>
        </is>
      </c>
      <c r="B9" s="14">
        <f>SUM(B4:B8)</f>
        <v/>
      </c>
      <c r="C9" s="16">
        <f>SUM(C4:C8)</f>
        <v/>
      </c>
      <c r="D9" s="17">
        <f>SUM(D4:D8)</f>
        <v/>
      </c>
    </row>
    <row r="10">
      <c r="A10" s="2" t="inlineStr">
        <is>
          <t>Check: bucket total - SUM(Invoices balances)</t>
        </is>
      </c>
      <c r="B10" s="18">
        <f>B9-SUM(Invoices!$J$4:$J$73)</f>
        <v/>
      </c>
      <c r="C10" s="2" t="inlineStr">
        <is>
          <t>must be zero</t>
        </is>
      </c>
    </row>
    <row r="11" ht="46" customHeight="1">
      <c r="A11" s="19" t="inlineStr">
        <is>
          <t>Current = not yet due (0 days overdue). Buckets read Balance Outstanding (col J) and Days Overdue (col K) of Invoices; settled invoices carry a zero balance and never inflate a bucket.</t>
        </is>
      </c>
    </row>
  </sheetData>
  <mergeCells count="3">
    <mergeCell ref="A1:D1"/>
    <mergeCell ref="A2:D2"/>
    <mergeCell ref="A11:D1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3" customWidth="1" min="1" max="1"/>
    <col width="18" customWidth="1" min="2" max="2"/>
    <col width="18" customWidth="1" min="3" max="3"/>
    <col width="18" customWidth="1" min="4" max="4"/>
    <col width="13" customWidth="1" min="5" max="5"/>
    <col width="23" customWidth="1" min="6" max="6"/>
    <col width="13" customWidth="1" min="7" max="7"/>
  </cols>
  <sheetData>
    <row r="1" ht="26" customHeight="1">
      <c r="A1" s="8" t="inlineStr">
        <is>
          <t>Customer Summary as of 31-Aug-2026</t>
        </is>
      </c>
    </row>
    <row r="2">
      <c r="A2" s="2" t="inlineStr">
        <is>
          <t>One row per customer, sorted by outstanding descending - Rs | % Overdue = overdue balance / outstanding | Oldest Outstanding uses MAXIFS (Excel 365 / 2021+)</t>
        </is>
      </c>
    </row>
    <row r="3" ht="34" customHeight="1">
      <c r="A3" s="9" t="inlineStr">
        <is>
          <t>Customer</t>
        </is>
      </c>
      <c r="B3" s="9" t="inlineStr">
        <is>
          <t>Total Invoiced</t>
        </is>
      </c>
      <c r="C3" s="9" t="inlineStr">
        <is>
          <t>Amount Received</t>
        </is>
      </c>
      <c r="D3" s="9" t="inlineStr">
        <is>
          <t>Outstanding</t>
        </is>
      </c>
      <c r="E3" s="9" t="inlineStr">
        <is>
          <t>% Overdue</t>
        </is>
      </c>
      <c r="F3" s="9" t="inlineStr">
        <is>
          <t>Oldest Outstanding (days)</t>
        </is>
      </c>
      <c r="G3" s="9" t="inlineStr">
        <is>
          <t>Risk Tier</t>
        </is>
      </c>
    </row>
    <row r="4">
      <c r="A4" t="inlineStr">
        <is>
          <t>Zenith InfoTech Pvt Ltd</t>
        </is>
      </c>
      <c r="B4" s="11">
        <f>SUMIF(Invoices!$B$4:$B$73,$A4,Invoices!$G$4:$G$73)</f>
        <v/>
      </c>
      <c r="C4" s="11">
        <f>SUMIF(Invoices!$B$4:$B$73,$A4,Invoices!$I$4:$I$73)</f>
        <v/>
      </c>
      <c r="D4" s="11">
        <f>SUMIF(Invoices!$B$4:$B$73,$A4,Invoices!$J$4:$J$73)</f>
        <v/>
      </c>
      <c r="E4" s="15">
        <f>IF($D4=0,0,SUMIFS(Invoices!$J$4:$J$73,Invoices!$B$4:$B$73,$A4,Invoices!$K$4:$K$73,"&gt;0")/$D4)</f>
        <v/>
      </c>
      <c r="F4" s="12">
        <f>MAXIFS(Invoices!$K$4:$K$73,Invoices!$B$4:$B$73,$A4,Invoices!$J$4:$J$73,"&gt;0")</f>
        <v/>
      </c>
      <c r="G4">
        <f>IF($D4=0,"None",IF($F4&gt;90,"High",IF($F4&gt;60,"Medium",IF($F4&gt;30,"Low","Watch"))))</f>
        <v/>
      </c>
    </row>
    <row r="5">
      <c r="A5" t="inlineStr">
        <is>
          <t>Deccan Cement Distributors Ltd</t>
        </is>
      </c>
      <c r="B5" s="11">
        <f>SUMIF(Invoices!$B$4:$B$73,$A5,Invoices!$G$4:$G$73)</f>
        <v/>
      </c>
      <c r="C5" s="11">
        <f>SUMIF(Invoices!$B$4:$B$73,$A5,Invoices!$I$4:$I$73)</f>
        <v/>
      </c>
      <c r="D5" s="11">
        <f>SUMIF(Invoices!$B$4:$B$73,$A5,Invoices!$J$4:$J$73)</f>
        <v/>
      </c>
      <c r="E5" s="15">
        <f>IF($D5=0,0,SUMIFS(Invoices!$J$4:$J$73,Invoices!$B$4:$B$73,$A5,Invoices!$K$4:$K$73,"&gt;0")/$D5)</f>
        <v/>
      </c>
      <c r="F5" s="12">
        <f>MAXIFS(Invoices!$K$4:$K$73,Invoices!$B$4:$B$73,$A5,Invoices!$J$4:$J$73,"&gt;0")</f>
        <v/>
      </c>
      <c r="G5">
        <f>IF($D5=0,"None",IF($F5&gt;90,"High",IF($F5&gt;60,"Medium",IF($F5&gt;30,"Low","Watch"))))</f>
        <v/>
      </c>
    </row>
    <row r="6">
      <c r="A6" t="inlineStr">
        <is>
          <t>Trident Auto Components Ltd</t>
        </is>
      </c>
      <c r="B6" s="11">
        <f>SUMIF(Invoices!$B$4:$B$73,$A6,Invoices!$G$4:$G$73)</f>
        <v/>
      </c>
      <c r="C6" s="11">
        <f>SUMIF(Invoices!$B$4:$B$73,$A6,Invoices!$I$4:$I$73)</f>
        <v/>
      </c>
      <c r="D6" s="11">
        <f>SUMIF(Invoices!$B$4:$B$73,$A6,Invoices!$J$4:$J$73)</f>
        <v/>
      </c>
      <c r="E6" s="15">
        <f>IF($D6=0,0,SUMIFS(Invoices!$J$4:$J$73,Invoices!$B$4:$B$73,$A6,Invoices!$K$4:$K$73,"&gt;0")/$D6)</f>
        <v/>
      </c>
      <c r="F6" s="12">
        <f>MAXIFS(Invoices!$K$4:$K$73,Invoices!$B$4:$B$73,$A6,Invoices!$J$4:$J$73,"&gt;0")</f>
        <v/>
      </c>
      <c r="G6">
        <f>IF($D6=0,"None",IF($F6&gt;90,"High",IF($F6&gt;60,"Medium",IF($F6&gt;30,"Low","Watch"))))</f>
        <v/>
      </c>
    </row>
    <row r="7">
      <c r="A7" t="inlineStr">
        <is>
          <t>Trishul Engineering Works</t>
        </is>
      </c>
      <c r="B7" s="11">
        <f>SUMIF(Invoices!$B$4:$B$73,$A7,Invoices!$G$4:$G$73)</f>
        <v/>
      </c>
      <c r="C7" s="11">
        <f>SUMIF(Invoices!$B$4:$B$73,$A7,Invoices!$I$4:$I$73)</f>
        <v/>
      </c>
      <c r="D7" s="11">
        <f>SUMIF(Invoices!$B$4:$B$73,$A7,Invoices!$J$4:$J$73)</f>
        <v/>
      </c>
      <c r="E7" s="15">
        <f>IF($D7=0,0,SUMIFS(Invoices!$J$4:$J$73,Invoices!$B$4:$B$73,$A7,Invoices!$K$4:$K$73,"&gt;0")/$D7)</f>
        <v/>
      </c>
      <c r="F7" s="12">
        <f>MAXIFS(Invoices!$K$4:$K$73,Invoices!$B$4:$B$73,$A7,Invoices!$J$4:$J$73,"&gt;0")</f>
        <v/>
      </c>
      <c r="G7">
        <f>IF($D7=0,"None",IF($F7&gt;90,"High",IF($F7&gt;60,"Medium",IF($F7&gt;30,"Low","Watch"))))</f>
        <v/>
      </c>
    </row>
    <row r="8">
      <c r="A8" t="inlineStr">
        <is>
          <t>Kaveri Financiers Ltd</t>
        </is>
      </c>
      <c r="B8" s="11">
        <f>SUMIF(Invoices!$B$4:$B$73,$A8,Invoices!$G$4:$G$73)</f>
        <v/>
      </c>
      <c r="C8" s="11">
        <f>SUMIF(Invoices!$B$4:$B$73,$A8,Invoices!$I$4:$I$73)</f>
        <v/>
      </c>
      <c r="D8" s="11">
        <f>SUMIF(Invoices!$B$4:$B$73,$A8,Invoices!$J$4:$J$73)</f>
        <v/>
      </c>
      <c r="E8" s="15">
        <f>IF($D8=0,0,SUMIFS(Invoices!$J$4:$J$73,Invoices!$B$4:$B$73,$A8,Invoices!$K$4:$K$73,"&gt;0")/$D8)</f>
        <v/>
      </c>
      <c r="F8" s="12">
        <f>MAXIFS(Invoices!$K$4:$K$73,Invoices!$B$4:$B$73,$A8,Invoices!$J$4:$J$73,"&gt;0")</f>
        <v/>
      </c>
      <c r="G8">
        <f>IF($D8=0,"None",IF($F8&gt;90,"High",IF($F8&gt;60,"Medium",IF($F8&gt;30,"Low","Watch"))))</f>
        <v/>
      </c>
    </row>
    <row r="9">
      <c r="A9" t="inlineStr">
        <is>
          <t>Orion Pharma Services Ltd</t>
        </is>
      </c>
      <c r="B9" s="11">
        <f>SUMIF(Invoices!$B$4:$B$73,$A9,Invoices!$G$4:$G$73)</f>
        <v/>
      </c>
      <c r="C9" s="11">
        <f>SUMIF(Invoices!$B$4:$B$73,$A9,Invoices!$I$4:$I$73)</f>
        <v/>
      </c>
      <c r="D9" s="11">
        <f>SUMIF(Invoices!$B$4:$B$73,$A9,Invoices!$J$4:$J$73)</f>
        <v/>
      </c>
      <c r="E9" s="15">
        <f>IF($D9=0,0,SUMIFS(Invoices!$J$4:$J$73,Invoices!$B$4:$B$73,$A9,Invoices!$K$4:$K$73,"&gt;0")/$D9)</f>
        <v/>
      </c>
      <c r="F9" s="12">
        <f>MAXIFS(Invoices!$K$4:$K$73,Invoices!$B$4:$B$73,$A9,Invoices!$J$4:$J$73,"&gt;0")</f>
        <v/>
      </c>
      <c r="G9">
        <f>IF($D9=0,"None",IF($F9&gt;90,"High",IF($F9&gt;60,"Medium",IF($F9&gt;30,"Low","Watch"))))</f>
        <v/>
      </c>
    </row>
    <row r="10">
      <c r="A10" t="inlineStr">
        <is>
          <t>Vaayu Aerospace Components Ltd</t>
        </is>
      </c>
      <c r="B10" s="11">
        <f>SUMIF(Invoices!$B$4:$B$73,$A10,Invoices!$G$4:$G$73)</f>
        <v/>
      </c>
      <c r="C10" s="11">
        <f>SUMIF(Invoices!$B$4:$B$73,$A10,Invoices!$I$4:$I$73)</f>
        <v/>
      </c>
      <c r="D10" s="11">
        <f>SUMIF(Invoices!$B$4:$B$73,$A10,Invoices!$J$4:$J$73)</f>
        <v/>
      </c>
      <c r="E10" s="15">
        <f>IF($D10=0,0,SUMIFS(Invoices!$J$4:$J$73,Invoices!$B$4:$B$73,$A10,Invoices!$K$4:$K$73,"&gt;0")/$D10)</f>
        <v/>
      </c>
      <c r="F10" s="12">
        <f>MAXIFS(Invoices!$K$4:$K$73,Invoices!$B$4:$B$73,$A10,Invoices!$J$4:$J$73,"&gt;0")</f>
        <v/>
      </c>
      <c r="G10">
        <f>IF($D10=0,"None",IF($F10&gt;90,"High",IF($F10&gt;60,"Medium",IF($F10&gt;30,"Low","Watch"))))</f>
        <v/>
      </c>
    </row>
    <row r="11">
      <c r="A11" t="inlineStr">
        <is>
          <t>Nimbus Cloud Solutions Pvt Ltd</t>
        </is>
      </c>
      <c r="B11" s="11">
        <f>SUMIF(Invoices!$B$4:$B$73,$A11,Invoices!$G$4:$G$73)</f>
        <v/>
      </c>
      <c r="C11" s="11">
        <f>SUMIF(Invoices!$B$4:$B$73,$A11,Invoices!$I$4:$I$73)</f>
        <v/>
      </c>
      <c r="D11" s="11">
        <f>SUMIF(Invoices!$B$4:$B$73,$A11,Invoices!$J$4:$J$73)</f>
        <v/>
      </c>
      <c r="E11" s="15">
        <f>IF($D11=0,0,SUMIFS(Invoices!$J$4:$J$73,Invoices!$B$4:$B$73,$A11,Invoices!$K$4:$K$73,"&gt;0")/$D11)</f>
        <v/>
      </c>
      <c r="F11" s="12">
        <f>MAXIFS(Invoices!$K$4:$K$73,Invoices!$B$4:$B$73,$A11,Invoices!$J$4:$J$73,"&gt;0")</f>
        <v/>
      </c>
      <c r="G11">
        <f>IF($D11=0,"None",IF($F11&gt;90,"High",IF($F11&gt;60,"Medium",IF($F11&gt;30,"Low","Watch"))))</f>
        <v/>
      </c>
    </row>
    <row r="12">
      <c r="A12" t="inlineStr">
        <is>
          <t>Mahavir Electronics Pvt Ltd</t>
        </is>
      </c>
      <c r="B12" s="11">
        <f>SUMIF(Invoices!$B$4:$B$73,$A12,Invoices!$G$4:$G$73)</f>
        <v/>
      </c>
      <c r="C12" s="11">
        <f>SUMIF(Invoices!$B$4:$B$73,$A12,Invoices!$I$4:$I$73)</f>
        <v/>
      </c>
      <c r="D12" s="11">
        <f>SUMIF(Invoices!$B$4:$B$73,$A12,Invoices!$J$4:$J$73)</f>
        <v/>
      </c>
      <c r="E12" s="15">
        <f>IF($D12=0,0,SUMIFS(Invoices!$J$4:$J$73,Invoices!$B$4:$B$73,$A12,Invoices!$K$4:$K$73,"&gt;0")/$D12)</f>
        <v/>
      </c>
      <c r="F12" s="12">
        <f>MAXIFS(Invoices!$K$4:$K$73,Invoices!$B$4:$B$73,$A12,Invoices!$J$4:$J$73,"&gt;0")</f>
        <v/>
      </c>
      <c r="G12">
        <f>IF($D12=0,"None",IF($F12&gt;90,"High",IF($F12&gt;60,"Medium",IF($F12&gt;30,"Low","Watch"))))</f>
        <v/>
      </c>
    </row>
    <row r="13">
      <c r="A13" t="inlineStr">
        <is>
          <t>GreenLeaf Agro Foods Pvt Ltd</t>
        </is>
      </c>
      <c r="B13" s="11">
        <f>SUMIF(Invoices!$B$4:$B$73,$A13,Invoices!$G$4:$G$73)</f>
        <v/>
      </c>
      <c r="C13" s="11">
        <f>SUMIF(Invoices!$B$4:$B$73,$A13,Invoices!$I$4:$I$73)</f>
        <v/>
      </c>
      <c r="D13" s="11">
        <f>SUMIF(Invoices!$B$4:$B$73,$A13,Invoices!$J$4:$J$73)</f>
        <v/>
      </c>
      <c r="E13" s="15">
        <f>IF($D13=0,0,SUMIFS(Invoices!$J$4:$J$73,Invoices!$B$4:$B$73,$A13,Invoices!$K$4:$K$73,"&gt;0")/$D13)</f>
        <v/>
      </c>
      <c r="F13" s="12">
        <f>MAXIFS(Invoices!$K$4:$K$73,Invoices!$B$4:$B$73,$A13,Invoices!$J$4:$J$73,"&gt;0")</f>
        <v/>
      </c>
      <c r="G13">
        <f>IF($D13=0,"None",IF($F13&gt;90,"High",IF($F13&gt;60,"Medium",IF($F13&gt;30,"Low","Watch"))))</f>
        <v/>
      </c>
    </row>
    <row r="14">
      <c r="A14" t="inlineStr">
        <is>
          <t>BluePeak Insurance Brokers Ltd</t>
        </is>
      </c>
      <c r="B14" s="11">
        <f>SUMIF(Invoices!$B$4:$B$73,$A14,Invoices!$G$4:$G$73)</f>
        <v/>
      </c>
      <c r="C14" s="11">
        <f>SUMIF(Invoices!$B$4:$B$73,$A14,Invoices!$I$4:$I$73)</f>
        <v/>
      </c>
      <c r="D14" s="11">
        <f>SUMIF(Invoices!$B$4:$B$73,$A14,Invoices!$J$4:$J$73)</f>
        <v/>
      </c>
      <c r="E14" s="15">
        <f>IF($D14=0,0,SUMIFS(Invoices!$J$4:$J$73,Invoices!$B$4:$B$73,$A14,Invoices!$K$4:$K$73,"&gt;0")/$D14)</f>
        <v/>
      </c>
      <c r="F14" s="12">
        <f>MAXIFS(Invoices!$K$4:$K$73,Invoices!$B$4:$B$73,$A14,Invoices!$J$4:$J$73,"&gt;0")</f>
        <v/>
      </c>
      <c r="G14">
        <f>IF($D14=0,"None",IF($F14&gt;90,"High",IF($F14&gt;60,"Medium",IF($F14&gt;30,"Low","Watch"))))</f>
        <v/>
      </c>
    </row>
    <row r="15">
      <c r="A15" t="inlineStr">
        <is>
          <t>Anjali Textiles Pvt Ltd</t>
        </is>
      </c>
      <c r="B15" s="11">
        <f>SUMIF(Invoices!$B$4:$B$73,$A15,Invoices!$G$4:$G$73)</f>
        <v/>
      </c>
      <c r="C15" s="11">
        <f>SUMIF(Invoices!$B$4:$B$73,$A15,Invoices!$I$4:$I$73)</f>
        <v/>
      </c>
      <c r="D15" s="11">
        <f>SUMIF(Invoices!$B$4:$B$73,$A15,Invoices!$J$4:$J$73)</f>
        <v/>
      </c>
      <c r="E15" s="15">
        <f>IF($D15=0,0,SUMIFS(Invoices!$J$4:$J$73,Invoices!$B$4:$B$73,$A15,Invoices!$K$4:$K$73,"&gt;0")/$D15)</f>
        <v/>
      </c>
      <c r="F15" s="12">
        <f>MAXIFS(Invoices!$K$4:$K$73,Invoices!$B$4:$B$73,$A15,Invoices!$J$4:$J$73,"&gt;0")</f>
        <v/>
      </c>
      <c r="G15">
        <f>IF($D15=0,"None",IF($F15&gt;90,"High",IF($F15&gt;60,"Medium",IF($F15&gt;30,"Low","Watch"))))</f>
        <v/>
      </c>
    </row>
    <row r="16">
      <c r="A16" t="inlineStr">
        <is>
          <t>Prisma Media Networks Pvt Ltd</t>
        </is>
      </c>
      <c r="B16" s="11">
        <f>SUMIF(Invoices!$B$4:$B$73,$A16,Invoices!$G$4:$G$73)</f>
        <v/>
      </c>
      <c r="C16" s="11">
        <f>SUMIF(Invoices!$B$4:$B$73,$A16,Invoices!$I$4:$I$73)</f>
        <v/>
      </c>
      <c r="D16" s="11">
        <f>SUMIF(Invoices!$B$4:$B$73,$A16,Invoices!$J$4:$J$73)</f>
        <v/>
      </c>
      <c r="E16" s="15">
        <f>IF($D16=0,0,SUMIFS(Invoices!$J$4:$J$73,Invoices!$B$4:$B$73,$A16,Invoices!$K$4:$K$73,"&gt;0")/$D16)</f>
        <v/>
      </c>
      <c r="F16" s="12">
        <f>MAXIFS(Invoices!$K$4:$K$73,Invoices!$B$4:$B$73,$A16,Invoices!$J$4:$J$73,"&gt;0")</f>
        <v/>
      </c>
      <c r="G16">
        <f>IF($D16=0,"None",IF($F16&gt;90,"High",IF($F16&gt;60,"Medium",IF($F16&gt;30,"Low","Watch"))))</f>
        <v/>
      </c>
    </row>
    <row r="17">
      <c r="A17" t="inlineStr">
        <is>
          <t>Coral Reef Hospitality Pvt Ltd</t>
        </is>
      </c>
      <c r="B17" s="11">
        <f>SUMIF(Invoices!$B$4:$B$73,$A17,Invoices!$G$4:$G$73)</f>
        <v/>
      </c>
      <c r="C17" s="11">
        <f>SUMIF(Invoices!$B$4:$B$73,$A17,Invoices!$I$4:$I$73)</f>
        <v/>
      </c>
      <c r="D17" s="11">
        <f>SUMIF(Invoices!$B$4:$B$73,$A17,Invoices!$J$4:$J$73)</f>
        <v/>
      </c>
      <c r="E17" s="15">
        <f>IF($D17=0,0,SUMIFS(Invoices!$J$4:$J$73,Invoices!$B$4:$B$73,$A17,Invoices!$K$4:$K$73,"&gt;0")/$D17)</f>
        <v/>
      </c>
      <c r="F17" s="12">
        <f>MAXIFS(Invoices!$K$4:$K$73,Invoices!$B$4:$B$73,$A17,Invoices!$J$4:$J$73,"&gt;0")</f>
        <v/>
      </c>
      <c r="G17">
        <f>IF($D17=0,"None",IF($F17&gt;90,"High",IF($F17&gt;60,"Medium",IF($F17&gt;30,"Low","Watch"))))</f>
        <v/>
      </c>
    </row>
    <row r="18">
      <c r="A18" t="inlineStr">
        <is>
          <t>Indus Retail Chains Ltd</t>
        </is>
      </c>
      <c r="B18" s="11">
        <f>SUMIF(Invoices!$B$4:$B$73,$A18,Invoices!$G$4:$G$73)</f>
        <v/>
      </c>
      <c r="C18" s="11">
        <f>SUMIF(Invoices!$B$4:$B$73,$A18,Invoices!$I$4:$I$73)</f>
        <v/>
      </c>
      <c r="D18" s="11">
        <f>SUMIF(Invoices!$B$4:$B$73,$A18,Invoices!$J$4:$J$73)</f>
        <v/>
      </c>
      <c r="E18" s="15">
        <f>IF($D18=0,0,SUMIFS(Invoices!$J$4:$J$73,Invoices!$B$4:$B$73,$A18,Invoices!$K$4:$K$73,"&gt;0")/$D18)</f>
        <v/>
      </c>
      <c r="F18" s="12">
        <f>MAXIFS(Invoices!$K$4:$K$73,Invoices!$B$4:$B$73,$A18,Invoices!$J$4:$J$73,"&gt;0")</f>
        <v/>
      </c>
      <c r="G18">
        <f>IF($D18=0,"None",IF($F18&gt;90,"High",IF($F18&gt;60,"Medium",IF($F18&gt;30,"Low","Watch"))))</f>
        <v/>
      </c>
    </row>
    <row r="19">
      <c r="A19" t="inlineStr">
        <is>
          <t>Sakshi Healthcare Labs Pvt Ltd</t>
        </is>
      </c>
      <c r="B19" s="11">
        <f>SUMIF(Invoices!$B$4:$B$73,$A19,Invoices!$G$4:$G$73)</f>
        <v/>
      </c>
      <c r="C19" s="11">
        <f>SUMIF(Invoices!$B$4:$B$73,$A19,Invoices!$I$4:$I$73)</f>
        <v/>
      </c>
      <c r="D19" s="11">
        <f>SUMIF(Invoices!$B$4:$B$73,$A19,Invoices!$J$4:$J$73)</f>
        <v/>
      </c>
      <c r="E19" s="15">
        <f>IF($D19=0,0,SUMIFS(Invoices!$J$4:$J$73,Invoices!$B$4:$B$73,$A19,Invoices!$K$4:$K$73,"&gt;0")/$D19)</f>
        <v/>
      </c>
      <c r="F19" s="12">
        <f>MAXIFS(Invoices!$K$4:$K$73,Invoices!$B$4:$B$73,$A19,Invoices!$J$4:$J$73,"&gt;0")</f>
        <v/>
      </c>
      <c r="G19">
        <f>IF($D19=0,"None",IF($F19&gt;90,"High",IF($F19&gt;60,"Medium",IF($F19&gt;30,"Low","Watch"))))</f>
        <v/>
      </c>
    </row>
    <row r="20">
      <c r="A20" t="inlineStr">
        <is>
          <t>Shakti Power Equipment Ltd</t>
        </is>
      </c>
      <c r="B20" s="11">
        <f>SUMIF(Invoices!$B$4:$B$73,$A20,Invoices!$G$4:$G$73)</f>
        <v/>
      </c>
      <c r="C20" s="11">
        <f>SUMIF(Invoices!$B$4:$B$73,$A20,Invoices!$I$4:$I$73)</f>
        <v/>
      </c>
      <c r="D20" s="11">
        <f>SUMIF(Invoices!$B$4:$B$73,$A20,Invoices!$J$4:$J$73)</f>
        <v/>
      </c>
      <c r="E20" s="15">
        <f>IF($D20=0,0,SUMIFS(Invoices!$J$4:$J$73,Invoices!$B$4:$B$73,$A20,Invoices!$K$4:$K$73,"&gt;0")/$D20)</f>
        <v/>
      </c>
      <c r="F20" s="12">
        <f>MAXIFS(Invoices!$K$4:$K$73,Invoices!$B$4:$B$73,$A20,Invoices!$J$4:$J$73,"&gt;0")</f>
        <v/>
      </c>
      <c r="G20">
        <f>IF($D20=0,"None",IF($F20&gt;90,"High",IF($F20&gt;60,"Medium",IF($F20&gt;30,"Low","Watch"))))</f>
        <v/>
      </c>
    </row>
    <row r="21">
      <c r="A21" t="inlineStr">
        <is>
          <t>Suryan Logistics Pvt Ltd</t>
        </is>
      </c>
      <c r="B21" s="11">
        <f>SUMIF(Invoices!$B$4:$B$73,$A21,Invoices!$G$4:$G$73)</f>
        <v/>
      </c>
      <c r="C21" s="11">
        <f>SUMIF(Invoices!$B$4:$B$73,$A21,Invoices!$I$4:$I$73)</f>
        <v/>
      </c>
      <c r="D21" s="11">
        <f>SUMIF(Invoices!$B$4:$B$73,$A21,Invoices!$J$4:$J$73)</f>
        <v/>
      </c>
      <c r="E21" s="15">
        <f>IF($D21=0,0,SUMIFS(Invoices!$J$4:$J$73,Invoices!$B$4:$B$73,$A21,Invoices!$K$4:$K$73,"&gt;0")/$D21)</f>
        <v/>
      </c>
      <c r="F21" s="12">
        <f>MAXIFS(Invoices!$K$4:$K$73,Invoices!$B$4:$B$73,$A21,Invoices!$J$4:$J$73,"&gt;0")</f>
        <v/>
      </c>
      <c r="G21">
        <f>IF($D21=0,"None",IF($F21&gt;90,"High",IF($F21&gt;60,"Medium",IF($F21&gt;30,"Low","Watch"))))</f>
        <v/>
      </c>
    </row>
    <row r="22">
      <c r="A22" s="13" t="inlineStr">
        <is>
          <t>TOTAL</t>
        </is>
      </c>
      <c r="B22" s="14">
        <f>SUM(B4:B21)</f>
        <v/>
      </c>
      <c r="C22" s="14">
        <f>SUM(C4:C21)</f>
        <v/>
      </c>
      <c r="D22" s="14">
        <f>SUM(D4:D21)</f>
        <v/>
      </c>
      <c r="E22" s="16">
        <f>IF($D22=0,0,SUMIFS(Invoices!$J$4:$J$73,Invoices!$K$4:$K$73,"&gt;0")/$D22)</f>
        <v/>
      </c>
      <c r="F22" s="17">
        <f>MAX(F4:F21)</f>
        <v/>
      </c>
      <c r="G22" s="13" t="n"/>
    </row>
    <row r="23" ht="46" customHeight="1">
      <c r="A23" s="19" t="inlineStr">
        <is>
          <t>Risk tiers (documented thresholds): High = oldest open invoice &gt; 90 days | Medium = 61-90 | Low = 31-60 | Watch = 1-30 | None = fully settled. Totals reconcile to the Aging Summary total outstanding.</t>
        </is>
      </c>
    </row>
  </sheetData>
  <autoFilter ref="A3:G21"/>
  <mergeCells count="3">
    <mergeCell ref="A2:G2"/>
    <mergeCell ref="A1:G1"/>
    <mergeCell ref="A23:G2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8" customWidth="1" min="2" max="2"/>
    <col width="20" customWidth="1" min="3" max="3"/>
    <col width="20" customWidth="1" min="4" max="4"/>
  </cols>
  <sheetData>
    <row r="1" ht="26" customHeight="1">
      <c r="A1" s="8" t="inlineStr">
        <is>
          <t>Provisioning Policy (illustrative)</t>
        </is>
      </c>
    </row>
    <row r="2" ht="46" customHeight="1">
      <c r="A2" s="2" t="inlineStr">
        <is>
          <t>Rates below are illustrative portfolio assumptions - NOT statutory rates or company policy. Provision = bucket outstanding x rate; Net Receivable = Total Outstanding - Total Provision. Rs</t>
        </is>
      </c>
    </row>
    <row r="3">
      <c r="A3" s="9" t="inlineStr">
        <is>
          <t>Bucket</t>
        </is>
      </c>
      <c r="B3" s="9" t="inlineStr">
        <is>
          <t>Provision Rate</t>
        </is>
      </c>
      <c r="C3" s="9" t="inlineStr">
        <is>
          <t>Outstanding</t>
        </is>
      </c>
      <c r="D3" s="9" t="inlineStr">
        <is>
          <t>Provision</t>
        </is>
      </c>
    </row>
    <row r="4">
      <c r="A4" t="inlineStr">
        <is>
          <t>Current (not yet due)</t>
        </is>
      </c>
      <c r="B4" s="6" t="n">
        <v>0</v>
      </c>
      <c r="C4" s="11">
        <f>'Aging Summary'!B4</f>
        <v/>
      </c>
      <c r="D4" s="11">
        <f>B4*C4</f>
        <v/>
      </c>
    </row>
    <row r="5">
      <c r="A5" t="inlineStr">
        <is>
          <t>1-30 days overdue</t>
        </is>
      </c>
      <c r="B5" s="6" t="n">
        <v>0.05</v>
      </c>
      <c r="C5" s="11">
        <f>'Aging Summary'!B5</f>
        <v/>
      </c>
      <c r="D5" s="11">
        <f>B5*C5</f>
        <v/>
      </c>
    </row>
    <row r="6">
      <c r="A6" t="inlineStr">
        <is>
          <t>31-60 days overdue</t>
        </is>
      </c>
      <c r="B6" s="6" t="n">
        <v>0.1</v>
      </c>
      <c r="C6" s="11">
        <f>'Aging Summary'!B6</f>
        <v/>
      </c>
      <c r="D6" s="11">
        <f>B6*C6</f>
        <v/>
      </c>
    </row>
    <row r="7">
      <c r="A7" t="inlineStr">
        <is>
          <t>61-90 days overdue</t>
        </is>
      </c>
      <c r="B7" s="6" t="n">
        <v>0.25</v>
      </c>
      <c r="C7" s="11">
        <f>'Aging Summary'!B7</f>
        <v/>
      </c>
      <c r="D7" s="11">
        <f>B7*C7</f>
        <v/>
      </c>
    </row>
    <row r="8">
      <c r="A8" t="inlineStr">
        <is>
          <t>90+ days overdue</t>
        </is>
      </c>
      <c r="B8" s="6" t="n">
        <v>0.5</v>
      </c>
      <c r="C8" s="11">
        <f>'Aging Summary'!B8</f>
        <v/>
      </c>
      <c r="D8" s="11">
        <f>B8*C8</f>
        <v/>
      </c>
    </row>
    <row r="9">
      <c r="A9" s="13" t="inlineStr">
        <is>
          <t>TOTAL PROVISION</t>
        </is>
      </c>
      <c r="B9" s="13" t="n"/>
      <c r="C9" s="14">
        <f>SUM(C4:C8)</f>
        <v/>
      </c>
      <c r="D9" s="14">
        <f>SUM(D4:D8)</f>
        <v/>
      </c>
    </row>
    <row r="10">
      <c r="A10" s="13" t="inlineStr">
        <is>
          <t>NET RECEIVABLE (after provision)</t>
        </is>
      </c>
      <c r="B10" s="13" t="n"/>
      <c r="C10" s="14">
        <f>'Aging Summary'!B9</f>
        <v/>
      </c>
      <c r="D10" s="14">
        <f>C10-D9</f>
        <v/>
      </c>
    </row>
    <row r="11" ht="46" customHeight="1">
      <c r="A11" s="19" t="inlineStr">
        <is>
          <t>Assumption note: rates escalate with age because recoverability falls sharply past 90 days; 90+ is only 50% provided to reflect partially recoverable disputed / legacy balances.</t>
        </is>
      </c>
    </row>
  </sheetData>
  <mergeCells count="3">
    <mergeCell ref="A1:D1"/>
    <mergeCell ref="A2:D2"/>
    <mergeCell ref="A11:D1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3" customWidth="1" min="1" max="1"/>
    <col width="13" customWidth="1" min="2" max="2"/>
    <col width="15" customWidth="1" min="3" max="3"/>
    <col width="19" customWidth="1" min="4" max="4"/>
    <col width="17" customWidth="1" min="5" max="5"/>
    <col width="58" customWidth="1" min="6" max="6"/>
    <col width="15" customWidth="1" min="7" max="7"/>
  </cols>
  <sheetData>
    <row r="1" ht="26" customHeight="1">
      <c r="A1" s="8" t="inlineStr">
        <is>
          <t>Collections Plan - Top 12 Overdue Balances</t>
        </is>
      </c>
    </row>
    <row r="2">
      <c r="A2" s="2" t="inlineStr">
        <is>
          <t>Actionable worklist as of 31-Aug-2026, sorted by amount overdue descending - Rs</t>
        </is>
      </c>
    </row>
    <row r="3" ht="32" customHeight="1">
      <c r="A3" s="9" t="inlineStr">
        <is>
          <t>Customer</t>
        </is>
      </c>
      <c r="B3" s="9" t="inlineStr">
        <is>
          <t>Invoice No</t>
        </is>
      </c>
      <c r="C3" s="9" t="inlineStr">
        <is>
          <t>Days Overdue</t>
        </is>
      </c>
      <c r="D3" s="9" t="inlineStr">
        <is>
          <t>Amount Overdue</t>
        </is>
      </c>
      <c r="E3" s="9" t="inlineStr">
        <is>
          <t>Priority</t>
        </is>
      </c>
      <c r="F3" s="9" t="inlineStr">
        <is>
          <t>Suggested Action</t>
        </is>
      </c>
      <c r="G3" s="9" t="inlineStr">
        <is>
          <t>Owner</t>
        </is>
      </c>
    </row>
    <row r="4">
      <c r="A4" t="inlineStr">
        <is>
          <t>Trishul Engineering Works</t>
        </is>
      </c>
      <c r="B4" t="inlineStr">
        <is>
          <t>INV-26-0035</t>
        </is>
      </c>
      <c r="C4" s="12" t="n">
        <v>77</v>
      </c>
      <c r="D4" s="11" t="n">
        <v>277300</v>
      </c>
      <c r="E4">
        <f>IF(OR(C4&gt;=90,D4&gt;=500000),"P1 - Critical",IF(OR(C4&gt;=60,D4&gt;=250000),"P2 - High","P3 - Monitor"))</f>
        <v/>
      </c>
      <c r="F4" t="inlineStr">
        <is>
          <t>Email statement of account; agree a payment plan call</t>
        </is>
      </c>
      <c r="G4" t="inlineStr">
        <is>
          <t>R. Iyer</t>
        </is>
      </c>
    </row>
    <row r="5">
      <c r="A5" t="inlineStr">
        <is>
          <t>Kaveri Financiers Ltd</t>
        </is>
      </c>
      <c r="B5" t="inlineStr">
        <is>
          <t>INV-26-0009</t>
        </is>
      </c>
      <c r="C5" s="12" t="n">
        <v>135</v>
      </c>
      <c r="D5" s="11" t="n">
        <v>224200</v>
      </c>
      <c r="E5">
        <f>IF(OR(C5&gt;=90,D5&gt;=500000),"P1 - Critical",IF(OR(C5&gt;=60,D5&gt;=250000),"P2 - High","P3 - Monitor"))</f>
        <v/>
      </c>
      <c r="F5" t="inlineStr">
        <is>
          <t>Call AP team; escalate to account manager</t>
        </is>
      </c>
      <c r="G5" t="inlineStr">
        <is>
          <t>S. Nair</t>
        </is>
      </c>
    </row>
    <row r="6">
      <c r="A6" t="inlineStr">
        <is>
          <t>Deccan Cement Distributors Ltd</t>
        </is>
      </c>
      <c r="B6" t="inlineStr">
        <is>
          <t>INV-26-0044</t>
        </is>
      </c>
      <c r="C6" s="12" t="n">
        <v>33</v>
      </c>
      <c r="D6" s="11" t="n">
        <v>211220</v>
      </c>
      <c r="E6">
        <f>IF(OR(C6&gt;=90,D6&gt;=500000),"P1 - Critical",IF(OR(C6&gt;=60,D6&gt;=250000),"P2 - High","P3 - Monitor"))</f>
        <v/>
      </c>
      <c r="F6" t="inlineStr">
        <is>
          <t>Send payment reminder with invoice copy; confirm receipt</t>
        </is>
      </c>
      <c r="G6" t="inlineStr">
        <is>
          <t>A. Kulkarni</t>
        </is>
      </c>
    </row>
    <row r="7">
      <c r="A7" t="inlineStr">
        <is>
          <t>Vaayu Aerospace Components Ltd</t>
        </is>
      </c>
      <c r="B7" t="inlineStr">
        <is>
          <t>INV-26-0018</t>
        </is>
      </c>
      <c r="C7" s="12" t="n">
        <v>111</v>
      </c>
      <c r="D7" s="11" t="n">
        <v>200600</v>
      </c>
      <c r="E7">
        <f>IF(OR(C7&gt;=90,D7&gt;=500000),"P1 - Critical",IF(OR(C7&gt;=60,D7&gt;=250000),"P2 - High","P3 - Monitor"))</f>
        <v/>
      </c>
      <c r="F7" t="inlineStr">
        <is>
          <t>Call AP team; escalate to account manager</t>
        </is>
      </c>
      <c r="G7" t="inlineStr">
        <is>
          <t>M. Rao</t>
        </is>
      </c>
    </row>
    <row r="8">
      <c r="A8" t="inlineStr">
        <is>
          <t>Zenith InfoTech Pvt Ltd</t>
        </is>
      </c>
      <c r="B8" t="inlineStr">
        <is>
          <t>INV-26-0048</t>
        </is>
      </c>
      <c r="C8" s="12" t="n">
        <v>30</v>
      </c>
      <c r="D8" s="11" t="n">
        <v>177800</v>
      </c>
      <c r="E8">
        <f>IF(OR(C8&gt;=90,D8&gt;=500000),"P1 - Critical",IF(OR(C8&gt;=60,D8&gt;=250000),"P2 - High","P3 - Monitor"))</f>
        <v/>
      </c>
      <c r="F8" t="inlineStr">
        <is>
          <t>Send payment reminder with invoice copy; confirm receipt</t>
        </is>
      </c>
      <c r="G8" t="inlineStr">
        <is>
          <t>P. Deshpande</t>
        </is>
      </c>
    </row>
    <row r="9">
      <c r="A9" t="inlineStr">
        <is>
          <t>Nimbus Cloud Solutions Pvt Ltd</t>
        </is>
      </c>
      <c r="B9" t="inlineStr">
        <is>
          <t>INV-26-0002</t>
        </is>
      </c>
      <c r="C9" s="12" t="n">
        <v>209</v>
      </c>
      <c r="D9" s="11" t="n">
        <v>175820</v>
      </c>
      <c r="E9">
        <f>IF(OR(C9&gt;=90,D9&gt;=500000),"P1 - Critical",IF(OR(C9&gt;=60,D9&gt;=250000),"P2 - High","P3 - Monitor"))</f>
        <v/>
      </c>
      <c r="F9" t="inlineStr">
        <is>
          <t>Escalate to CFO; prepare final legal notice draft</t>
        </is>
      </c>
      <c r="G9" t="inlineStr">
        <is>
          <t>R. Iyer</t>
        </is>
      </c>
    </row>
    <row r="10">
      <c r="A10" t="inlineStr">
        <is>
          <t>Zenith InfoTech Pvt Ltd</t>
        </is>
      </c>
      <c r="B10" t="inlineStr">
        <is>
          <t>INV-26-0015</t>
        </is>
      </c>
      <c r="C10" s="12" t="n">
        <v>128</v>
      </c>
      <c r="D10" s="11" t="n">
        <v>134680</v>
      </c>
      <c r="E10">
        <f>IF(OR(C10&gt;=90,D10&gt;=500000),"P1 - Critical",IF(OR(C10&gt;=60,D10&gt;=250000),"P2 - High","P3 - Monitor"))</f>
        <v/>
      </c>
      <c r="F10" t="inlineStr">
        <is>
          <t>Call AP team; escalate to account manager</t>
        </is>
      </c>
      <c r="G10" t="inlineStr">
        <is>
          <t>S. Nair</t>
        </is>
      </c>
    </row>
    <row r="11">
      <c r="A11" t="inlineStr">
        <is>
          <t>Mahavir Electronics Pvt Ltd</t>
        </is>
      </c>
      <c r="B11" t="inlineStr">
        <is>
          <t>INV-26-0043</t>
        </is>
      </c>
      <c r="C11" s="12" t="n">
        <v>35</v>
      </c>
      <c r="D11" s="11" t="n">
        <v>128660</v>
      </c>
      <c r="E11">
        <f>IF(OR(C11&gt;=90,D11&gt;=500000),"P1 - Critical",IF(OR(C11&gt;=60,D11&gt;=250000),"P2 - High","P3 - Monitor"))</f>
        <v/>
      </c>
      <c r="F11" t="inlineStr">
        <is>
          <t>Send payment reminder with invoice copy; confirm receipt</t>
        </is>
      </c>
      <c r="G11" t="inlineStr">
        <is>
          <t>A. Kulkarni</t>
        </is>
      </c>
    </row>
    <row r="12">
      <c r="A12" t="inlineStr">
        <is>
          <t>Zenith InfoTech Pvt Ltd</t>
        </is>
      </c>
      <c r="B12" t="inlineStr">
        <is>
          <t>INV-26-0039</t>
        </is>
      </c>
      <c r="C12" s="12" t="n">
        <v>44</v>
      </c>
      <c r="D12" s="11" t="n">
        <v>112200</v>
      </c>
      <c r="E12">
        <f>IF(OR(C12&gt;=90,D12&gt;=500000),"P1 - Critical",IF(OR(C12&gt;=60,D12&gt;=250000),"P2 - High","P3 - Monitor"))</f>
        <v/>
      </c>
      <c r="F12" t="inlineStr">
        <is>
          <t>Send payment reminder with invoice copy; confirm receipt</t>
        </is>
      </c>
      <c r="G12" t="inlineStr">
        <is>
          <t>M. Rao</t>
        </is>
      </c>
    </row>
    <row r="13">
      <c r="A13" t="inlineStr">
        <is>
          <t>Orion Pharma Services Ltd</t>
        </is>
      </c>
      <c r="B13" t="inlineStr">
        <is>
          <t>INV-26-0052</t>
        </is>
      </c>
      <c r="C13" s="12" t="n">
        <v>23</v>
      </c>
      <c r="D13" s="11" t="n">
        <v>111500</v>
      </c>
      <c r="E13">
        <f>IF(OR(C13&gt;=90,D13&gt;=500000),"P1 - Critical",IF(OR(C13&gt;=60,D13&gt;=250000),"P2 - High","P3 - Monitor"))</f>
        <v/>
      </c>
      <c r="F13" t="inlineStr">
        <is>
          <t>Courtesy follow-up; confirm invoice approval status</t>
        </is>
      </c>
      <c r="G13" t="inlineStr">
        <is>
          <t>P. Deshpande</t>
        </is>
      </c>
    </row>
    <row r="14">
      <c r="A14" t="inlineStr">
        <is>
          <t>Orion Pharma Services Ltd</t>
        </is>
      </c>
      <c r="B14" t="inlineStr">
        <is>
          <t>INV-26-0028</t>
        </is>
      </c>
      <c r="C14" s="12" t="n">
        <v>90</v>
      </c>
      <c r="D14" s="11" t="n">
        <v>103620</v>
      </c>
      <c r="E14">
        <f>IF(OR(C14&gt;=90,D14&gt;=500000),"P1 - Critical",IF(OR(C14&gt;=60,D14&gt;=250000),"P2 - High","P3 - Monitor"))</f>
        <v/>
      </c>
      <c r="F14" t="inlineStr">
        <is>
          <t>Call AP team; escalate to account manager</t>
        </is>
      </c>
      <c r="G14" t="inlineStr">
        <is>
          <t>R. Iyer</t>
        </is>
      </c>
    </row>
    <row r="15">
      <c r="A15" t="inlineStr">
        <is>
          <t>Trident Auto Components Ltd</t>
        </is>
      </c>
      <c r="B15" t="inlineStr">
        <is>
          <t>INV-26-0037</t>
        </is>
      </c>
      <c r="C15" s="12" t="n">
        <v>29</v>
      </c>
      <c r="D15" s="11" t="n">
        <v>92040</v>
      </c>
      <c r="E15">
        <f>IF(OR(C15&gt;=90,D15&gt;=500000),"P1 - Critical",IF(OR(C15&gt;=60,D15&gt;=250000),"P2 - High","P3 - Monitor"))</f>
        <v/>
      </c>
      <c r="F15" t="inlineStr">
        <is>
          <t>Courtesy follow-up; confirm invoice approval status</t>
        </is>
      </c>
      <c r="G15" t="inlineStr">
        <is>
          <t>S. Nair</t>
        </is>
      </c>
    </row>
    <row r="16">
      <c r="A16" s="13" t="inlineStr">
        <is>
          <t>TOTAL (top 12)</t>
        </is>
      </c>
      <c r="B16" s="13" t="n"/>
      <c r="C16" s="13" t="n"/>
      <c r="D16" s="14">
        <f>SUM(D4:D15)</f>
        <v/>
      </c>
      <c r="E16" s="20" t="inlineStr">
        <is>
          <t>% of total outstanding</t>
        </is>
      </c>
      <c r="F16" s="16">
        <f>IF('Aging Summary'!$B$9=0,0,D16/'Aging Summary'!$B$9)</f>
        <v/>
      </c>
      <c r="G16" s="13" t="n"/>
    </row>
    <row r="17" ht="46" customHeight="1">
      <c r="A17" s="19" t="inlineStr">
        <is>
          <t>Priority rule: P1 if days overdue &gt;= 90 or amount &gt;= Rs 500,000; P2 if &gt;= 60 days or &gt;= Rs 250,000; otherwise P3. Owners are placeholder names. Work top-down and log the outcome against the invoice number.</t>
        </is>
      </c>
    </row>
  </sheetData>
  <autoFilter ref="A3:G15"/>
  <mergeCells count="3">
    <mergeCell ref="A2:G2"/>
    <mergeCell ref="A1:G1"/>
    <mergeCell ref="A17:G17"/>
  </mergeCells>
  <conditionalFormatting sqref="E4:E15">
    <cfRule type="cellIs" priority="1" operator="equal" dxfId="0">
      <formula>"P1 - Critical"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27" customWidth="1" min="1" max="1"/>
    <col width="20" customWidth="1" min="2" max="2"/>
    <col width="4" customWidth="1" min="3" max="3"/>
    <col width="32" customWidth="1" min="4" max="4"/>
    <col width="20" customWidth="1" min="5" max="5"/>
    <col width="24" customWidth="1" min="6" max="6"/>
    <col width="16" customWidth="1" min="7" max="7"/>
  </cols>
  <sheetData>
    <row r="1" ht="30" customHeight="1">
      <c r="A1" s="1" t="inlineStr">
        <is>
          <t>Dashboard - AR Aging &amp; Collections</t>
        </is>
      </c>
    </row>
    <row r="2">
      <c r="A2" s="2" t="inlineStr">
        <is>
          <t>BrightPath Solutions Pvt Ltd | as of 31-Aug-2026 | Rs | DSOS = (Total AR / Total Credit Sales Jan-Aug 2026) x 240 days</t>
        </is>
      </c>
    </row>
    <row r="3">
      <c r="A3" s="3" t="inlineStr">
        <is>
          <t>Key Performance Indicators</t>
        </is>
      </c>
    </row>
    <row r="4" ht="36" customHeight="1">
      <c r="A4" s="21" t="inlineStr">
        <is>
          <t>Total Outstanding</t>
        </is>
      </c>
      <c r="B4" s="21" t="inlineStr">
        <is>
          <t>Overdue % of Outstanding</t>
        </is>
      </c>
      <c r="C4" s="21" t="inlineStr">
        <is>
          <t>Current Bucket</t>
        </is>
      </c>
      <c r="D4" s="21" t="inlineStr">
        <is>
          <t>90+ Bucket</t>
        </is>
      </c>
      <c r="E4" s="21" t="inlineStr">
        <is>
          <t>Total Provision</t>
        </is>
      </c>
      <c r="F4" s="21" t="inlineStr">
        <is>
          <t>Net Receivable</t>
        </is>
      </c>
      <c r="G4" s="21" t="inlineStr">
        <is>
          <t>DSOS (days)</t>
        </is>
      </c>
    </row>
    <row r="5" ht="26" customHeight="1">
      <c r="A5" s="22">
        <f>'Aging Summary'!$B$9</f>
        <v/>
      </c>
      <c r="B5" s="23">
        <f>IF('Aging Summary'!$B$9=0,0,SUMIFS(Invoices!$J$4:$J$73,Invoices!$K$4:$K$73,"&gt;0")/'Aging Summary'!$B$9)</f>
        <v/>
      </c>
      <c r="C5" s="22">
        <f>'Aging Summary'!$B$4</f>
        <v/>
      </c>
      <c r="D5" s="22">
        <f>'Aging Summary'!$B$8</f>
        <v/>
      </c>
      <c r="E5" s="22">
        <f>'Provisions'!$D$9</f>
        <v/>
      </c>
      <c r="F5" s="22">
        <f>'Provisions'!$D$10</f>
        <v/>
      </c>
      <c r="G5" s="24">
        <f>IF(SUM(Invoices!$G$4:$G$73)=0,0,'Aging Summary'!$B$9/SUM(Invoices!$G$4:$G$73)*240)</f>
        <v/>
      </c>
    </row>
    <row r="6"/>
    <row r="7">
      <c r="A7" s="25" t="inlineStr">
        <is>
          <t>Outstanding by Aging Bucket</t>
        </is>
      </c>
      <c r="D7" s="25" t="inlineStr">
        <is>
          <t>Top 10 Customers by Outstanding</t>
        </is>
      </c>
    </row>
    <row r="8">
      <c r="A8" s="9" t="inlineStr">
        <is>
          <t>Bucket</t>
        </is>
      </c>
      <c r="B8" s="9" t="inlineStr">
        <is>
          <t>Outstanding</t>
        </is>
      </c>
      <c r="D8" s="9" t="inlineStr">
        <is>
          <t>Customer</t>
        </is>
      </c>
      <c r="E8" s="9" t="inlineStr">
        <is>
          <t>Outstanding</t>
        </is>
      </c>
    </row>
    <row r="9">
      <c r="A9" t="inlineStr">
        <is>
          <t>Current (not yet due)</t>
        </is>
      </c>
      <c r="B9" s="11">
        <f>'Aging Summary'!B4</f>
        <v/>
      </c>
      <c r="D9">
        <f>'Customer Summary'!A4</f>
        <v/>
      </c>
      <c r="E9" s="11">
        <f>'Customer Summary'!D4</f>
        <v/>
      </c>
    </row>
    <row r="10">
      <c r="A10" t="inlineStr">
        <is>
          <t>1-30 days overdue</t>
        </is>
      </c>
      <c r="B10" s="11">
        <f>'Aging Summary'!B5</f>
        <v/>
      </c>
      <c r="D10">
        <f>'Customer Summary'!A5</f>
        <v/>
      </c>
      <c r="E10" s="11">
        <f>'Customer Summary'!D5</f>
        <v/>
      </c>
    </row>
    <row r="11">
      <c r="A11" t="inlineStr">
        <is>
          <t>31-60 days overdue</t>
        </is>
      </c>
      <c r="B11" s="11">
        <f>'Aging Summary'!B6</f>
        <v/>
      </c>
      <c r="D11">
        <f>'Customer Summary'!A6</f>
        <v/>
      </c>
      <c r="E11" s="11">
        <f>'Customer Summary'!D6</f>
        <v/>
      </c>
    </row>
    <row r="12">
      <c r="A12" t="inlineStr">
        <is>
          <t>61-90 days overdue</t>
        </is>
      </c>
      <c r="B12" s="11">
        <f>'Aging Summary'!B7</f>
        <v/>
      </c>
      <c r="D12">
        <f>'Customer Summary'!A7</f>
        <v/>
      </c>
      <c r="E12" s="11">
        <f>'Customer Summary'!D7</f>
        <v/>
      </c>
    </row>
    <row r="13">
      <c r="A13" t="inlineStr">
        <is>
          <t>90+ days overdue</t>
        </is>
      </c>
      <c r="B13" s="11">
        <f>'Aging Summary'!B8</f>
        <v/>
      </c>
      <c r="D13">
        <f>'Customer Summary'!A8</f>
        <v/>
      </c>
      <c r="E13" s="11">
        <f>'Customer Summary'!D8</f>
        <v/>
      </c>
    </row>
    <row r="14">
      <c r="D14">
        <f>'Customer Summary'!A9</f>
        <v/>
      </c>
      <c r="E14" s="11">
        <f>'Customer Summary'!D9</f>
        <v/>
      </c>
    </row>
    <row r="15">
      <c r="D15">
        <f>'Customer Summary'!A10</f>
        <v/>
      </c>
      <c r="E15" s="11">
        <f>'Customer Summary'!D10</f>
        <v/>
      </c>
    </row>
    <row r="16">
      <c r="D16">
        <f>'Customer Summary'!A11</f>
        <v/>
      </c>
      <c r="E16" s="11">
        <f>'Customer Summary'!D11</f>
        <v/>
      </c>
    </row>
    <row r="17">
      <c r="D17">
        <f>'Customer Summary'!A12</f>
        <v/>
      </c>
      <c r="E17" s="11">
        <f>'Customer Summary'!D12</f>
        <v/>
      </c>
    </row>
    <row r="18">
      <c r="D18">
        <f>'Customer Summary'!A13</f>
        <v/>
      </c>
      <c r="E18" s="11">
        <f>'Customer Summary'!D13</f>
        <v/>
      </c>
    </row>
    <row r="19" ht="32" customHeight="1">
      <c r="A19" s="19" t="inlineStr">
        <is>
          <t>KPI cards and both chart tables are formula-linked to Aging Summary, Customer Summary and Provisions - everything recalculates when the workbook opens.</t>
        </is>
      </c>
    </row>
  </sheetData>
  <mergeCells count="6">
    <mergeCell ref="A1:G1"/>
    <mergeCell ref="D7:E7"/>
    <mergeCell ref="A7:B7"/>
    <mergeCell ref="A3:G3"/>
    <mergeCell ref="A19:E19"/>
    <mergeCell ref="A2:G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2026-09-25T19:40:51Z</dcterms:created>
  <dcterms:modified xsi:type="dcterms:W3CDTF">2026-09-25T19:40:51Z</dcterms:modified>
</cp:coreProperties>
</file>